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siltant.sharepoint.com/sites/ConsiltantBV/Gedeelde documenten/General/Tools en templates/Consiltant tools/PFD Consiltator/"/>
    </mc:Choice>
  </mc:AlternateContent>
  <xr:revisionPtr revIDLastSave="619" documentId="14_{D8CA15AB-7A3C-443E-9E53-638A72FA3DC5}" xr6:coauthVersionLast="45" xr6:coauthVersionMax="45" xr10:uidLastSave="{C453CDBA-E3F6-4B00-B809-2A4B93F1C2D6}"/>
  <bookViews>
    <workbookView xWindow="-108" yWindow="-108" windowWidth="23256" windowHeight="12576" xr2:uid="{0A64C2CD-C4CB-49C3-83C8-AEDB0235D79E}"/>
  </bookViews>
  <sheets>
    <sheet name="PFD calculator (simple)" sheetId="10" r:id="rId1"/>
    <sheet name="PFD calculator (advanced)" sheetId="11" r:id="rId2"/>
    <sheet name="Help" sheetId="12" r:id="rId3"/>
    <sheet name="References" sheetId="3" r:id="rId4"/>
    <sheet name="Revision" sheetId="6" r:id="rId5"/>
    <sheet name="Lists" sheetId="2" state="hidden" r:id="rId6"/>
  </sheets>
  <definedNames>
    <definedName name="_xlnm._FilterDatabase" localSheetId="4" hidden="1">Revision!#REF!</definedName>
    <definedName name="solver_adj" localSheetId="2" hidden="1">Help!#REF!</definedName>
    <definedName name="solver_adj" localSheetId="1" hidden="1">'PFD calculator (advanced)'!$Q$32</definedName>
    <definedName name="solver_adj" localSheetId="0" hidden="1">'PFD calculator (simple)'!#REF!</definedName>
    <definedName name="solver_adj" localSheetId="3" hidden="1">References!#REF!</definedName>
    <definedName name="solver_cvg" localSheetId="2" hidden="1">0.0001</definedName>
    <definedName name="solver_cvg" localSheetId="1" hidden="1">0.0001</definedName>
    <definedName name="solver_cvg" localSheetId="0" hidden="1">0.0001</definedName>
    <definedName name="solver_cvg" localSheetId="3" hidden="1">0.0001</definedName>
    <definedName name="solver_drv" localSheetId="2" hidden="1">2</definedName>
    <definedName name="solver_drv" localSheetId="1" hidden="1">2</definedName>
    <definedName name="solver_drv" localSheetId="0" hidden="1">2</definedName>
    <definedName name="solver_drv" localSheetId="3" hidden="1">2</definedName>
    <definedName name="solver_eng" localSheetId="2" hidden="1">1</definedName>
    <definedName name="solver_eng" localSheetId="1" hidden="1">1</definedName>
    <definedName name="solver_eng" localSheetId="0" hidden="1">1</definedName>
    <definedName name="solver_eng" localSheetId="3" hidden="1">1</definedName>
    <definedName name="solver_est" localSheetId="2" hidden="1">1</definedName>
    <definedName name="solver_est" localSheetId="1" hidden="1">1</definedName>
    <definedName name="solver_est" localSheetId="0" hidden="1">1</definedName>
    <definedName name="solver_est" localSheetId="3" hidden="1">1</definedName>
    <definedName name="solver_itr" localSheetId="2" hidden="1">2147483647</definedName>
    <definedName name="solver_itr" localSheetId="1" hidden="1">2147483647</definedName>
    <definedName name="solver_itr" localSheetId="0" hidden="1">2147483647</definedName>
    <definedName name="solver_itr" localSheetId="3" hidden="1">2147483647</definedName>
    <definedName name="solver_lhs1" localSheetId="2" hidden="1">Help!#REF!</definedName>
    <definedName name="solver_lhs1" localSheetId="1" hidden="1">'PFD calculator (advanced)'!#REF!</definedName>
    <definedName name="solver_lhs1" localSheetId="0" hidden="1">'PFD calculator (simple)'!#REF!</definedName>
    <definedName name="solver_lhs1" localSheetId="3" hidden="1">References!#REF!</definedName>
    <definedName name="solver_lhs2" localSheetId="2" hidden="1">Help!#REF!</definedName>
    <definedName name="solver_lhs2" localSheetId="1" hidden="1">'PFD calculator (advanced)'!#REF!</definedName>
    <definedName name="solver_lhs2" localSheetId="0" hidden="1">'PFD calculator (simple)'!#REF!</definedName>
    <definedName name="solver_lhs2" localSheetId="3" hidden="1">References!#REF!</definedName>
    <definedName name="solver_mip" localSheetId="2" hidden="1">2147483647</definedName>
    <definedName name="solver_mip" localSheetId="1" hidden="1">2147483647</definedName>
    <definedName name="solver_mip" localSheetId="0" hidden="1">2147483647</definedName>
    <definedName name="solver_mip" localSheetId="3" hidden="1">2147483647</definedName>
    <definedName name="solver_mni" localSheetId="2" hidden="1">30</definedName>
    <definedName name="solver_mni" localSheetId="1" hidden="1">30</definedName>
    <definedName name="solver_mni" localSheetId="0" hidden="1">30</definedName>
    <definedName name="solver_mni" localSheetId="3" hidden="1">30</definedName>
    <definedName name="solver_mrt" localSheetId="2" hidden="1">0.075</definedName>
    <definedName name="solver_mrt" localSheetId="1" hidden="1">0.075</definedName>
    <definedName name="solver_mrt" localSheetId="0" hidden="1">0.075</definedName>
    <definedName name="solver_mrt" localSheetId="3" hidden="1">0.075</definedName>
    <definedName name="solver_msl" localSheetId="2" hidden="1">2</definedName>
    <definedName name="solver_msl" localSheetId="1" hidden="1">2</definedName>
    <definedName name="solver_msl" localSheetId="0" hidden="1">2</definedName>
    <definedName name="solver_msl" localSheetId="3" hidden="1">2</definedName>
    <definedName name="solver_neg" localSheetId="2" hidden="1">1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od" localSheetId="2" hidden="1">2147483647</definedName>
    <definedName name="solver_nod" localSheetId="1" hidden="1">2147483647</definedName>
    <definedName name="solver_nod" localSheetId="0" hidden="1">2147483647</definedName>
    <definedName name="solver_nod" localSheetId="3" hidden="1">2147483647</definedName>
    <definedName name="solver_num" localSheetId="2" hidden="1">0</definedName>
    <definedName name="solver_num" localSheetId="1" hidden="1">0</definedName>
    <definedName name="solver_num" localSheetId="0" hidden="1">1</definedName>
    <definedName name="solver_num" localSheetId="3" hidden="1">1</definedName>
    <definedName name="solver_nwt" localSheetId="2" hidden="1">1</definedName>
    <definedName name="solver_nwt" localSheetId="1" hidden="1">1</definedName>
    <definedName name="solver_nwt" localSheetId="0" hidden="1">1</definedName>
    <definedName name="solver_nwt" localSheetId="3" hidden="1">1</definedName>
    <definedName name="solver_opt" localSheetId="2" hidden="1">Help!#REF!</definedName>
    <definedName name="solver_opt" localSheetId="1" hidden="1">'PFD calculator (advanced)'!$T$32</definedName>
    <definedName name="solver_opt" localSheetId="0" hidden="1">'PFD calculator (simple)'!#REF!</definedName>
    <definedName name="solver_opt" localSheetId="3" hidden="1">References!#REF!</definedName>
    <definedName name="solver_pre" localSheetId="2" hidden="1">0.000001</definedName>
    <definedName name="solver_pre" localSheetId="1" hidden="1">0.000001</definedName>
    <definedName name="solver_pre" localSheetId="0" hidden="1">0.000001</definedName>
    <definedName name="solver_pre" localSheetId="3" hidden="1">0.000001</definedName>
    <definedName name="solver_rbv" localSheetId="2" hidden="1">2</definedName>
    <definedName name="solver_rbv" localSheetId="1" hidden="1">2</definedName>
    <definedName name="solver_rbv" localSheetId="0" hidden="1">2</definedName>
    <definedName name="solver_rbv" localSheetId="3" hidden="1">2</definedName>
    <definedName name="solver_rel1" localSheetId="2" hidden="1">3</definedName>
    <definedName name="solver_rel1" localSheetId="1" hidden="1">3</definedName>
    <definedName name="solver_rel1" localSheetId="0" hidden="1">3</definedName>
    <definedName name="solver_rel1" localSheetId="3" hidden="1">3</definedName>
    <definedName name="solver_rel2" localSheetId="2" hidden="1">3</definedName>
    <definedName name="solver_rel2" localSheetId="1" hidden="1">3</definedName>
    <definedName name="solver_rel2" localSheetId="0" hidden="1">3</definedName>
    <definedName name="solver_rel2" localSheetId="3" hidden="1">3</definedName>
    <definedName name="solver_rhs1" localSheetId="2" hidden="1">10</definedName>
    <definedName name="solver_rhs1" localSheetId="1" hidden="1">10</definedName>
    <definedName name="solver_rhs1" localSheetId="0" hidden="1">10</definedName>
    <definedName name="solver_rhs1" localSheetId="3" hidden="1">10</definedName>
    <definedName name="solver_rhs2" localSheetId="2" hidden="1">10</definedName>
    <definedName name="solver_rhs2" localSheetId="1" hidden="1">10</definedName>
    <definedName name="solver_rhs2" localSheetId="0" hidden="1">10</definedName>
    <definedName name="solver_rhs2" localSheetId="3" hidden="1">10</definedName>
    <definedName name="solver_rlx" localSheetId="2" hidden="1">2</definedName>
    <definedName name="solver_rlx" localSheetId="1" hidden="1">2</definedName>
    <definedName name="solver_rlx" localSheetId="0" hidden="1">2</definedName>
    <definedName name="solver_rlx" localSheetId="3" hidden="1">2</definedName>
    <definedName name="solver_rsd" localSheetId="2" hidden="1">0</definedName>
    <definedName name="solver_rsd" localSheetId="1" hidden="1">0</definedName>
    <definedName name="solver_rsd" localSheetId="0" hidden="1">0</definedName>
    <definedName name="solver_rsd" localSheetId="3" hidden="1">0</definedName>
    <definedName name="solver_scl" localSheetId="2" hidden="1">2</definedName>
    <definedName name="solver_scl" localSheetId="1" hidden="1">2</definedName>
    <definedName name="solver_scl" localSheetId="0" hidden="1">2</definedName>
    <definedName name="solver_scl" localSheetId="3" hidden="1">2</definedName>
    <definedName name="solver_sho" localSheetId="2" hidden="1">2</definedName>
    <definedName name="solver_sho" localSheetId="1" hidden="1">2</definedName>
    <definedName name="solver_sho" localSheetId="0" hidden="1">2</definedName>
    <definedName name="solver_sho" localSheetId="3" hidden="1">2</definedName>
    <definedName name="solver_ssz" localSheetId="2" hidden="1">100</definedName>
    <definedName name="solver_ssz" localSheetId="1" hidden="1">100</definedName>
    <definedName name="solver_ssz" localSheetId="0" hidden="1">100</definedName>
    <definedName name="solver_ssz" localSheetId="3" hidden="1">100</definedName>
    <definedName name="solver_tim" localSheetId="2" hidden="1">2147483647</definedName>
    <definedName name="solver_tim" localSheetId="1" hidden="1">2147483647</definedName>
    <definedName name="solver_tim" localSheetId="0" hidden="1">2147483647</definedName>
    <definedName name="solver_tim" localSheetId="3" hidden="1">2147483647</definedName>
    <definedName name="solver_tol" localSheetId="2" hidden="1">0.01</definedName>
    <definedName name="solver_tol" localSheetId="1" hidden="1">0.01</definedName>
    <definedName name="solver_tol" localSheetId="0" hidden="1">0.01</definedName>
    <definedName name="solver_tol" localSheetId="3" hidden="1">0.01</definedName>
    <definedName name="solver_typ" localSheetId="2" hidden="1">3</definedName>
    <definedName name="solver_typ" localSheetId="1" hidden="1">3</definedName>
    <definedName name="solver_typ" localSheetId="0" hidden="1">3</definedName>
    <definedName name="solver_typ" localSheetId="3" hidden="1">3</definedName>
    <definedName name="solver_val" localSheetId="2" hidden="1">0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er" localSheetId="2" hidden="1">3</definedName>
    <definedName name="solver_ver" localSheetId="1" hidden="1">3</definedName>
    <definedName name="solver_ver" localSheetId="0" hidden="1">3</definedName>
    <definedName name="solver_ver" localSheetId="3" hidden="1">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10" l="1"/>
  <c r="T5" i="10"/>
  <c r="T4" i="10"/>
  <c r="Q36" i="11"/>
  <c r="Q35" i="11"/>
  <c r="K36" i="11"/>
  <c r="K39" i="11" s="1"/>
  <c r="K35" i="11"/>
  <c r="K38" i="11" s="1"/>
  <c r="E36" i="11"/>
  <c r="E40" i="11" s="1"/>
  <c r="E35" i="11"/>
  <c r="E38" i="11" s="1"/>
  <c r="Q26" i="11"/>
  <c r="Q25" i="11"/>
  <c r="Q24" i="11"/>
  <c r="K26" i="11"/>
  <c r="K25" i="11"/>
  <c r="K24" i="11"/>
  <c r="E25" i="11"/>
  <c r="E24" i="11"/>
  <c r="E26" i="11"/>
  <c r="K34" i="11"/>
  <c r="E34" i="11"/>
  <c r="Q33" i="11"/>
  <c r="K33" i="11"/>
  <c r="E33" i="11"/>
  <c r="Q32" i="11"/>
  <c r="K32" i="11"/>
  <c r="E32" i="11"/>
  <c r="K31" i="11"/>
  <c r="E31" i="11"/>
  <c r="K30" i="11"/>
  <c r="E30" i="11"/>
  <c r="Q29" i="11"/>
  <c r="Q42" i="11" s="1"/>
  <c r="K29" i="11"/>
  <c r="E29" i="11"/>
  <c r="Q28" i="11"/>
  <c r="K28" i="11"/>
  <c r="E28" i="11"/>
  <c r="Q27" i="11"/>
  <c r="K27" i="11"/>
  <c r="E27" i="11"/>
  <c r="Q23" i="11"/>
  <c r="K23" i="11"/>
  <c r="E23" i="11"/>
  <c r="T6" i="11"/>
  <c r="Q30" i="11"/>
  <c r="T5" i="11"/>
  <c r="T4" i="11"/>
  <c r="E42" i="11" l="1"/>
  <c r="K42" i="11"/>
  <c r="E39" i="11"/>
  <c r="Q56" i="11"/>
  <c r="K56" i="11"/>
  <c r="E37" i="11"/>
  <c r="K37" i="11"/>
  <c r="Q40" i="11"/>
  <c r="Q39" i="11"/>
  <c r="E50" i="11"/>
  <c r="Q31" i="11"/>
  <c r="Q34" i="11"/>
  <c r="K45" i="11"/>
  <c r="E49" i="11"/>
  <c r="E58" i="11"/>
  <c r="Q44" i="11"/>
  <c r="K40" i="11"/>
  <c r="Q48" i="11"/>
  <c r="Q45" i="11"/>
  <c r="K49" i="11"/>
  <c r="K58" i="11"/>
  <c r="K44" i="11"/>
  <c r="E48" i="11"/>
  <c r="E57" i="11"/>
  <c r="K48" i="11"/>
  <c r="K57" i="11"/>
  <c r="E45" i="11"/>
  <c r="Q49" i="11"/>
  <c r="E56" i="11"/>
  <c r="E44" i="11"/>
  <c r="K50" i="11"/>
  <c r="E52" i="11" l="1"/>
  <c r="Q50" i="11"/>
  <c r="Q53" i="11" s="1"/>
  <c r="Q58" i="11"/>
  <c r="K52" i="11"/>
  <c r="K59" i="11"/>
  <c r="E51" i="11"/>
  <c r="E59" i="11"/>
  <c r="E46" i="11"/>
  <c r="K53" i="11"/>
  <c r="K46" i="11"/>
  <c r="Q38" i="11"/>
  <c r="Q37" i="11"/>
  <c r="E53" i="11"/>
  <c r="Q57" i="11"/>
  <c r="Q51" i="11"/>
  <c r="K51" i="11"/>
  <c r="Q52" i="11" l="1"/>
  <c r="Q54" i="11" s="1"/>
  <c r="E54" i="11"/>
  <c r="E12" i="11"/>
  <c r="U4" i="11" s="1"/>
  <c r="Q59" i="11"/>
  <c r="Q46" i="11"/>
  <c r="K54" i="11"/>
  <c r="K12" i="11" s="1"/>
  <c r="U5" i="11" s="1"/>
  <c r="Q12" i="11" l="1"/>
  <c r="U6" i="11" s="1"/>
  <c r="U7" i="11" s="1"/>
  <c r="W7" i="11" s="1"/>
  <c r="K10" i="10" l="1"/>
  <c r="U5" i="10" s="1"/>
  <c r="E10" i="10"/>
  <c r="U4" i="10" s="1"/>
  <c r="Q10" i="10" l="1"/>
  <c r="U6" i="10" s="1"/>
  <c r="U7" i="10" s="1"/>
  <c r="W7" i="10" s="1"/>
</calcChain>
</file>

<file path=xl/sharedStrings.xml><?xml version="1.0" encoding="utf-8"?>
<sst xmlns="http://schemas.openxmlformats.org/spreadsheetml/2006/main" count="413" uniqueCount="101">
  <si>
    <t>1oo1</t>
  </si>
  <si>
    <t>1oo2</t>
  </si>
  <si>
    <t>2oo3</t>
  </si>
  <si>
    <t>β</t>
  </si>
  <si>
    <t>T</t>
  </si>
  <si>
    <t>PFD</t>
  </si>
  <si>
    <t>/h</t>
  </si>
  <si>
    <t>%</t>
  </si>
  <si>
    <t>1oo3</t>
  </si>
  <si>
    <t>Total PFD</t>
  </si>
  <si>
    <t>à</t>
  </si>
  <si>
    <t>+</t>
  </si>
  <si>
    <t>=</t>
  </si>
  <si>
    <r>
      <rPr>
        <b/>
        <sz val="24"/>
        <rFont val="Calibri"/>
        <family val="2"/>
        <scheme val="minor"/>
      </rPr>
      <t>PFD CON</t>
    </r>
    <r>
      <rPr>
        <b/>
        <sz val="24"/>
        <color rgb="FF219BDA"/>
        <rFont val="Calibri"/>
        <family val="2"/>
        <scheme val="minor"/>
      </rPr>
      <t>SIL</t>
    </r>
    <r>
      <rPr>
        <b/>
        <sz val="24"/>
        <rFont val="Calibri"/>
        <family val="2"/>
        <scheme val="minor"/>
      </rPr>
      <t>TATOR</t>
    </r>
  </si>
  <si>
    <t>Common cause factor - Beta</t>
  </si>
  <si>
    <t>Some guidance on beta-factors can be found at Sintef</t>
  </si>
  <si>
    <t>years</t>
  </si>
  <si>
    <t>months</t>
  </si>
  <si>
    <t>weeks</t>
  </si>
  <si>
    <t>days</t>
  </si>
  <si>
    <t>Revision data</t>
  </si>
  <si>
    <t>Date</t>
  </si>
  <si>
    <t>Version</t>
  </si>
  <si>
    <t>Description</t>
  </si>
  <si>
    <t>Author</t>
  </si>
  <si>
    <t>1.0</t>
  </si>
  <si>
    <t>Initial version</t>
  </si>
  <si>
    <t>Jeroen Mijnarends</t>
  </si>
  <si>
    <t>PTC</t>
  </si>
  <si>
    <t>LT</t>
  </si>
  <si>
    <t>Average</t>
  </si>
  <si>
    <t>Geometric mean</t>
  </si>
  <si>
    <t>Quadratic mean</t>
  </si>
  <si>
    <t>h</t>
  </si>
  <si>
    <r>
      <t>λ</t>
    </r>
    <r>
      <rPr>
        <vertAlign val="subscript"/>
        <sz val="10"/>
        <rFont val="Calibri"/>
        <family val="2"/>
        <scheme val="minor"/>
      </rPr>
      <t>1,A</t>
    </r>
  </si>
  <si>
    <r>
      <t>λ</t>
    </r>
    <r>
      <rPr>
        <vertAlign val="subscript"/>
        <sz val="10"/>
        <rFont val="Calibri"/>
        <family val="2"/>
        <scheme val="minor"/>
      </rPr>
      <t>1,B</t>
    </r>
  </si>
  <si>
    <r>
      <t>λ</t>
    </r>
    <r>
      <rPr>
        <vertAlign val="subscript"/>
        <sz val="10"/>
        <rFont val="Calibri"/>
        <family val="2"/>
        <scheme val="minor"/>
      </rPr>
      <t>1,C</t>
    </r>
  </si>
  <si>
    <r>
      <t>λ</t>
    </r>
    <r>
      <rPr>
        <vertAlign val="subscript"/>
        <sz val="10"/>
        <rFont val="Calibri"/>
        <family val="2"/>
        <scheme val="minor"/>
      </rPr>
      <t>2,A</t>
    </r>
  </si>
  <si>
    <r>
      <t>λ</t>
    </r>
    <r>
      <rPr>
        <vertAlign val="subscript"/>
        <sz val="10"/>
        <rFont val="Calibri"/>
        <family val="2"/>
        <scheme val="minor"/>
      </rPr>
      <t>2,B</t>
    </r>
  </si>
  <si>
    <r>
      <t>λ</t>
    </r>
    <r>
      <rPr>
        <vertAlign val="subscript"/>
        <sz val="10"/>
        <rFont val="Calibri"/>
        <family val="2"/>
        <scheme val="minor"/>
      </rPr>
      <t>2,C</t>
    </r>
  </si>
  <si>
    <r>
      <t>λ</t>
    </r>
    <r>
      <rPr>
        <vertAlign val="subscript"/>
        <sz val="10"/>
        <rFont val="Calibri"/>
        <family val="2"/>
        <scheme val="minor"/>
      </rPr>
      <t>1,AVG_2</t>
    </r>
  </si>
  <si>
    <r>
      <t>λ</t>
    </r>
    <r>
      <rPr>
        <vertAlign val="subscript"/>
        <sz val="10"/>
        <rFont val="Calibri"/>
        <family val="2"/>
        <scheme val="minor"/>
      </rPr>
      <t>2,AVG_2</t>
    </r>
  </si>
  <si>
    <r>
      <t>λ</t>
    </r>
    <r>
      <rPr>
        <vertAlign val="subscript"/>
        <sz val="10"/>
        <rFont val="Calibri"/>
        <family val="2"/>
        <scheme val="minor"/>
      </rPr>
      <t>1,AVG_3</t>
    </r>
  </si>
  <si>
    <r>
      <t>λ</t>
    </r>
    <r>
      <rPr>
        <vertAlign val="subscript"/>
        <sz val="10"/>
        <rFont val="Calibri"/>
        <family val="2"/>
        <scheme val="minor"/>
      </rPr>
      <t>2,AVG_3</t>
    </r>
  </si>
  <si>
    <r>
      <t>P</t>
    </r>
    <r>
      <rPr>
        <vertAlign val="subscript"/>
        <sz val="10"/>
        <rFont val="Calibri"/>
        <family val="2"/>
        <scheme val="minor"/>
      </rPr>
      <t>K_A</t>
    </r>
  </si>
  <si>
    <r>
      <t>P</t>
    </r>
    <r>
      <rPr>
        <vertAlign val="subscript"/>
        <sz val="10"/>
        <rFont val="Calibri"/>
        <family val="2"/>
        <scheme val="minor"/>
      </rPr>
      <t>K_B</t>
    </r>
  </si>
  <si>
    <r>
      <t>P</t>
    </r>
    <r>
      <rPr>
        <vertAlign val="subscript"/>
        <sz val="10"/>
        <rFont val="Calibri"/>
        <family val="2"/>
        <scheme val="minor"/>
      </rPr>
      <t>K_C</t>
    </r>
  </si>
  <si>
    <r>
      <t>P</t>
    </r>
    <r>
      <rPr>
        <vertAlign val="subscript"/>
        <sz val="10"/>
        <rFont val="Calibri"/>
        <family val="2"/>
        <scheme val="minor"/>
      </rPr>
      <t>K_AB</t>
    </r>
  </si>
  <si>
    <r>
      <t>P</t>
    </r>
    <r>
      <rPr>
        <vertAlign val="subscript"/>
        <sz val="10"/>
        <rFont val="Calibri"/>
        <family val="2"/>
        <scheme val="minor"/>
      </rPr>
      <t>K_BC</t>
    </r>
  </si>
  <si>
    <r>
      <t>P</t>
    </r>
    <r>
      <rPr>
        <vertAlign val="subscript"/>
        <sz val="10"/>
        <rFont val="Calibri"/>
        <family val="2"/>
        <scheme val="minor"/>
      </rPr>
      <t>K_AC</t>
    </r>
  </si>
  <si>
    <r>
      <t>C</t>
    </r>
    <r>
      <rPr>
        <vertAlign val="subscript"/>
        <sz val="10"/>
        <rFont val="Calibri"/>
        <family val="2"/>
        <scheme val="minor"/>
      </rPr>
      <t>β1oo2</t>
    </r>
  </si>
  <si>
    <r>
      <t>C</t>
    </r>
    <r>
      <rPr>
        <vertAlign val="subscript"/>
        <sz val="10"/>
        <rFont val="Calibri"/>
        <family val="2"/>
        <scheme val="minor"/>
      </rPr>
      <t>β1oo3</t>
    </r>
  </si>
  <si>
    <r>
      <t>C</t>
    </r>
    <r>
      <rPr>
        <vertAlign val="subscript"/>
        <sz val="10"/>
        <rFont val="Calibri"/>
        <family val="2"/>
        <scheme val="minor"/>
      </rPr>
      <t>β2oo3</t>
    </r>
  </si>
  <si>
    <t>2.0</t>
  </si>
  <si>
    <t>References</t>
  </si>
  <si>
    <t>IEC-61508-6 - Appendix B</t>
  </si>
  <si>
    <t>VDI/VDE 2180 part 3 (September 2019)</t>
  </si>
  <si>
    <t>Gabriel, T., Menck, U., &amp; Hildebrandt, A. (2016). PFD Calculation Considering Imperfect Proof Tests. Chemical Engineering Transactions, 48, 637-642. https://doi.org/10.3303/CET1648107</t>
  </si>
  <si>
    <t>MooN</t>
  </si>
  <si>
    <t>Time</t>
  </si>
  <si>
    <t>Lists (do not change)</t>
  </si>
  <si>
    <t>Minimum</t>
  </si>
  <si>
    <t>Maximum</t>
  </si>
  <si>
    <t>CCF method</t>
  </si>
  <si>
    <r>
      <t>λ</t>
    </r>
    <r>
      <rPr>
        <vertAlign val="subscript"/>
        <sz val="10"/>
        <rFont val="Calibri"/>
        <family val="2"/>
        <scheme val="minor"/>
      </rPr>
      <t>AVG_2</t>
    </r>
  </si>
  <si>
    <r>
      <t>λ</t>
    </r>
    <r>
      <rPr>
        <vertAlign val="subscript"/>
        <sz val="10"/>
        <rFont val="Calibri"/>
        <family val="2"/>
        <scheme val="minor"/>
      </rPr>
      <t>AVG_3</t>
    </r>
  </si>
  <si>
    <t>Basis of PFD calculations (simple)</t>
  </si>
  <si>
    <r>
      <rPr>
        <b/>
        <sz val="24"/>
        <rFont val="Calibri"/>
        <family val="2"/>
        <scheme val="minor"/>
      </rPr>
      <t>PFD CON</t>
    </r>
    <r>
      <rPr>
        <b/>
        <sz val="24"/>
        <color rgb="FF219BDA"/>
        <rFont val="Calibri"/>
        <family val="2"/>
        <scheme val="minor"/>
      </rPr>
      <t>SIL</t>
    </r>
    <r>
      <rPr>
        <b/>
        <sz val="24"/>
        <rFont val="Calibri"/>
        <family val="2"/>
        <scheme val="minor"/>
      </rPr>
      <t>TATOR</t>
    </r>
    <r>
      <rPr>
        <b/>
        <sz val="24"/>
        <color rgb="FF219BDA"/>
        <rFont val="Calibri"/>
        <family val="2"/>
        <scheme val="minor"/>
      </rPr>
      <t xml:space="preserve"> - Simple</t>
    </r>
  </si>
  <si>
    <t xml:space="preserve"> Configuration</t>
  </si>
  <si>
    <t xml:space="preserve"> Dangerous undetected failure rate 1</t>
  </si>
  <si>
    <t xml:space="preserve"> Dangerous undetected failure rate 2</t>
  </si>
  <si>
    <t xml:space="preserve"> Dangerous undetected failure rate 3</t>
  </si>
  <si>
    <t xml:space="preserve"> Common cause factor</t>
  </si>
  <si>
    <t xml:space="preserve"> Test period</t>
  </si>
  <si>
    <t xml:space="preserve"> Proof test coverage</t>
  </si>
  <si>
    <t xml:space="preserve"> Lifetime</t>
  </si>
  <si>
    <t xml:space="preserve"> Average PFD</t>
  </si>
  <si>
    <t xml:space="preserve"> FE - Final Element subsystem</t>
  </si>
  <si>
    <t xml:space="preserve"> LS - Logic Solver subsystem</t>
  </si>
  <si>
    <t xml:space="preserve"> SE - Sensor Element subsystem</t>
  </si>
  <si>
    <t xml:space="preserve"> β modifiction factor 1oo2</t>
  </si>
  <si>
    <t xml:space="preserve"> β modifiction factor 1oo3</t>
  </si>
  <si>
    <t xml:space="preserve"> β modifiction factor 2oo3</t>
  </si>
  <si>
    <t>Lists</t>
  </si>
  <si>
    <t>The simple version of the PFD CONSILTATOR calculates the average Probability of Failure on Demand according the following formulas:</t>
  </si>
  <si>
    <t>Basis of PFD calculations (advanced)</t>
  </si>
  <si>
    <t>Version 2.0</t>
  </si>
  <si>
    <r>
      <t>λ</t>
    </r>
    <r>
      <rPr>
        <vertAlign val="subscript"/>
        <sz val="11"/>
        <color theme="1"/>
        <rFont val="Calibri"/>
        <family val="2"/>
      </rPr>
      <t>DU,1</t>
    </r>
  </si>
  <si>
    <r>
      <t>λ</t>
    </r>
    <r>
      <rPr>
        <vertAlign val="subscript"/>
        <sz val="11"/>
        <color theme="1"/>
        <rFont val="Calibri"/>
        <family val="2"/>
      </rPr>
      <t>DU,2</t>
    </r>
  </si>
  <si>
    <r>
      <t>λ</t>
    </r>
    <r>
      <rPr>
        <vertAlign val="subscript"/>
        <sz val="11"/>
        <color theme="1"/>
        <rFont val="Calibri"/>
        <family val="2"/>
      </rPr>
      <t>DU,3</t>
    </r>
  </si>
  <si>
    <r>
      <t>Total PFD</t>
    </r>
    <r>
      <rPr>
        <b/>
        <vertAlign val="subscript"/>
        <sz val="11"/>
        <rFont val="Calibri"/>
        <family val="2"/>
        <scheme val="minor"/>
      </rPr>
      <t>avg</t>
    </r>
  </si>
  <si>
    <r>
      <t>PFD</t>
    </r>
    <r>
      <rPr>
        <vertAlign val="subscript"/>
        <sz val="11"/>
        <color theme="1"/>
        <rFont val="Calibri"/>
        <family val="2"/>
        <scheme val="minor"/>
      </rPr>
      <t>avg</t>
    </r>
  </si>
  <si>
    <t>The advanced version of the PFD CONSILTATOR calculates the average Probability of Failure on Demand according the methods described in IEC 61508-6 and VDI/VDE 2180 (see references below).</t>
  </si>
  <si>
    <r>
      <rPr>
        <b/>
        <sz val="24"/>
        <rFont val="Calibri"/>
        <family val="2"/>
        <scheme val="minor"/>
      </rPr>
      <t>PFD CON</t>
    </r>
    <r>
      <rPr>
        <b/>
        <sz val="24"/>
        <color rgb="FF219BDA"/>
        <rFont val="Calibri"/>
        <family val="2"/>
        <scheme val="minor"/>
      </rPr>
      <t>SIL</t>
    </r>
    <r>
      <rPr>
        <b/>
        <sz val="24"/>
        <rFont val="Calibri"/>
        <family val="2"/>
        <scheme val="minor"/>
      </rPr>
      <t>TATOR</t>
    </r>
    <r>
      <rPr>
        <b/>
        <sz val="24"/>
        <color rgb="FF219BDA"/>
        <rFont val="Calibri"/>
        <family val="2"/>
        <scheme val="minor"/>
      </rPr>
      <t xml:space="preserve"> - Help</t>
    </r>
  </si>
  <si>
    <t>SIL 1</t>
  </si>
  <si>
    <r>
      <t>λ</t>
    </r>
    <r>
      <rPr>
        <vertAlign val="subscript"/>
        <sz val="11"/>
        <color theme="0" tint="-0.14999847407452621"/>
        <rFont val="Calibri"/>
        <family val="2"/>
      </rPr>
      <t>DU,3</t>
    </r>
  </si>
  <si>
    <r>
      <t>λ</t>
    </r>
    <r>
      <rPr>
        <vertAlign val="subscript"/>
        <sz val="11"/>
        <color theme="0" tint="-0.14999847407452621"/>
        <rFont val="Calibri"/>
        <family val="2"/>
      </rPr>
      <t>DU,2</t>
    </r>
  </si>
  <si>
    <r>
      <t xml:space="preserve"> λ</t>
    </r>
    <r>
      <rPr>
        <b/>
        <vertAlign val="subscript"/>
        <sz val="11"/>
        <color theme="1"/>
        <rFont val="Calibri"/>
        <family val="2"/>
        <scheme val="minor"/>
      </rPr>
      <t>CCF</t>
    </r>
    <r>
      <rPr>
        <b/>
        <sz val="11"/>
        <color theme="1"/>
        <rFont val="Calibri"/>
        <family val="2"/>
        <scheme val="minor"/>
      </rPr>
      <t xml:space="preserve"> calculation method</t>
    </r>
  </si>
  <si>
    <t>Calculation settings</t>
  </si>
  <si>
    <r>
      <rPr>
        <b/>
        <sz val="24"/>
        <rFont val="Calibri"/>
        <family val="2"/>
        <scheme val="minor"/>
      </rPr>
      <t>PFD CON</t>
    </r>
    <r>
      <rPr>
        <b/>
        <sz val="24"/>
        <color rgb="FF219BDA"/>
        <rFont val="Calibri"/>
        <family val="2"/>
        <scheme val="minor"/>
      </rPr>
      <t>SIL</t>
    </r>
    <r>
      <rPr>
        <b/>
        <sz val="24"/>
        <rFont val="Calibri"/>
        <family val="2"/>
        <scheme val="minor"/>
      </rPr>
      <t>TATOR</t>
    </r>
    <r>
      <rPr>
        <b/>
        <sz val="24"/>
        <color rgb="FF219BDA"/>
        <rFont val="Calibri"/>
        <family val="2"/>
        <scheme val="minor"/>
      </rPr>
      <t xml:space="preserve"> - Advanced</t>
    </r>
  </si>
  <si>
    <t xml:space="preserve">New calculation method added (advanced), based on VDI-VDE 2180 part 3 (2019).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</si>
</sst>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219BDA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219BD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219BDA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Wingdings"/>
      <charset val="2"/>
    </font>
    <font>
      <b/>
      <sz val="2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(Body)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0"/>
      <name val="Calibri"/>
      <family val="2"/>
      <scheme val="minor"/>
    </font>
    <font>
      <i/>
      <sz val="11"/>
      <name val="Calibri"/>
      <family val="2"/>
      <scheme val="minor"/>
    </font>
    <font>
      <sz val="24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</font>
    <font>
      <vertAlign val="subscript"/>
      <sz val="11"/>
      <color theme="0" tint="-0.1499984740745262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4">
    <xf numFmtId="0" fontId="0" fillId="0" borderId="0" xfId="0"/>
    <xf numFmtId="0" fontId="5" fillId="2" borderId="0" xfId="0" applyFont="1" applyFill="1" applyAlignment="1" applyProtection="1"/>
    <xf numFmtId="14" fontId="6" fillId="2" borderId="0" xfId="0" applyNumberFormat="1" applyFont="1" applyFill="1" applyBorder="1" applyAlignment="1" applyProtection="1">
      <alignment vertical="top"/>
    </xf>
    <xf numFmtId="0" fontId="0" fillId="2" borderId="0" xfId="0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/>
    <xf numFmtId="0" fontId="8" fillId="2" borderId="0" xfId="0" applyFont="1" applyFill="1" applyBorder="1" applyAlignment="1" applyProtection="1">
      <alignment horizontal="left"/>
    </xf>
    <xf numFmtId="0" fontId="0" fillId="2" borderId="5" xfId="0" applyFill="1" applyBorder="1" applyProtection="1"/>
    <xf numFmtId="0" fontId="0" fillId="2" borderId="5" xfId="0" quotePrefix="1" applyFill="1" applyBorder="1" applyProtection="1"/>
    <xf numFmtId="0" fontId="0" fillId="2" borderId="8" xfId="0" applyFill="1" applyBorder="1" applyProtection="1"/>
    <xf numFmtId="11" fontId="0" fillId="2" borderId="0" xfId="0" applyNumberFormat="1" applyFill="1" applyProtection="1"/>
    <xf numFmtId="0" fontId="10" fillId="2" borderId="0" xfId="0" applyFont="1" applyFill="1" applyAlignment="1" applyProtection="1">
      <alignment horizontal="left" vertical="center" indent="5"/>
    </xf>
    <xf numFmtId="0" fontId="0" fillId="0" borderId="0" xfId="0" applyProtection="1"/>
    <xf numFmtId="9" fontId="0" fillId="2" borderId="0" xfId="1" applyFont="1" applyFill="1" applyBorder="1" applyProtection="1"/>
    <xf numFmtId="9" fontId="0" fillId="2" borderId="7" xfId="1" applyFont="1" applyFill="1" applyBorder="1" applyAlignment="1" applyProtection="1">
      <alignment horizontal="center"/>
    </xf>
    <xf numFmtId="0" fontId="0" fillId="2" borderId="0" xfId="0" applyFill="1"/>
    <xf numFmtId="0" fontId="7" fillId="2" borderId="0" xfId="0" applyFont="1" applyFill="1" applyBorder="1" applyAlignment="1" applyProtection="1">
      <alignment horizontal="right"/>
      <protection locked="0"/>
    </xf>
    <xf numFmtId="11" fontId="7" fillId="2" borderId="0" xfId="0" applyNumberFormat="1" applyFont="1" applyFill="1" applyBorder="1" applyProtection="1">
      <protection locked="0"/>
    </xf>
    <xf numFmtId="0" fontId="7" fillId="2" borderId="0" xfId="1" applyNumberFormat="1" applyFont="1" applyFill="1" applyBorder="1" applyProtection="1">
      <protection locked="0"/>
    </xf>
    <xf numFmtId="0" fontId="7" fillId="2" borderId="0" xfId="0" applyNumberFormat="1" applyFont="1" applyFill="1" applyBorder="1" applyProtection="1">
      <protection locked="0"/>
    </xf>
    <xf numFmtId="11" fontId="2" fillId="2" borderId="7" xfId="0" applyNumberFormat="1" applyFont="1" applyFill="1" applyBorder="1" applyProtection="1">
      <protection hidden="1"/>
    </xf>
    <xf numFmtId="11" fontId="0" fillId="2" borderId="0" xfId="0" applyNumberFormat="1" applyFill="1" applyBorder="1" applyProtection="1">
      <protection hidden="1"/>
    </xf>
    <xf numFmtId="11" fontId="0" fillId="2" borderId="7" xfId="0" applyNumberFormat="1" applyFill="1" applyBorder="1" applyProtection="1">
      <protection hidden="1"/>
    </xf>
    <xf numFmtId="11" fontId="2" fillId="2" borderId="0" xfId="0" applyNumberFormat="1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0" fillId="2" borderId="5" xfId="0" applyFill="1" applyBorder="1" applyProtection="1">
      <protection locked="0"/>
    </xf>
    <xf numFmtId="0" fontId="8" fillId="2" borderId="0" xfId="0" applyFont="1" applyFill="1" applyProtection="1"/>
    <xf numFmtId="0" fontId="1" fillId="2" borderId="0" xfId="0" applyFont="1" applyFill="1" applyProtection="1"/>
    <xf numFmtId="0" fontId="13" fillId="0" borderId="0" xfId="0" applyFont="1" applyBorder="1" applyAlignment="1" applyProtection="1">
      <alignment horizontal="center"/>
    </xf>
    <xf numFmtId="0" fontId="17" fillId="2" borderId="0" xfId="2" applyFill="1" applyProtection="1">
      <protection locked="0"/>
    </xf>
    <xf numFmtId="0" fontId="0" fillId="2" borderId="0" xfId="0" applyFill="1" applyAlignment="1" applyProtection="1"/>
    <xf numFmtId="0" fontId="1" fillId="2" borderId="0" xfId="0" applyFont="1" applyFill="1" applyAlignment="1" applyProtection="1"/>
    <xf numFmtId="0" fontId="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left" vertical="center"/>
    </xf>
    <xf numFmtId="0" fontId="12" fillId="2" borderId="4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Protection="1"/>
    <xf numFmtId="0" fontId="24" fillId="2" borderId="0" xfId="0" applyFont="1" applyFill="1" applyProtection="1"/>
    <xf numFmtId="0" fontId="24" fillId="2" borderId="0" xfId="0" applyFont="1" applyFill="1" applyBorder="1" applyAlignment="1" applyProtection="1">
      <alignment horizontal="left"/>
    </xf>
    <xf numFmtId="11" fontId="24" fillId="2" borderId="0" xfId="0" applyNumberFormat="1" applyFont="1" applyFill="1" applyProtection="1"/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3" fillId="2" borderId="0" xfId="0" applyFont="1" applyFill="1"/>
    <xf numFmtId="0" fontId="5" fillId="2" borderId="0" xfId="0" applyFont="1" applyFill="1"/>
    <xf numFmtId="14" fontId="6" fillId="2" borderId="0" xfId="0" applyNumberFormat="1" applyFont="1" applyFill="1" applyAlignment="1">
      <alignment vertical="top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right"/>
      <protection locked="0"/>
    </xf>
    <xf numFmtId="0" fontId="0" fillId="2" borderId="5" xfId="0" applyFill="1" applyBorder="1"/>
    <xf numFmtId="0" fontId="12" fillId="2" borderId="4" xfId="0" applyFont="1" applyFill="1" applyBorder="1" applyAlignment="1">
      <alignment horizontal="left"/>
    </xf>
    <xf numFmtId="11" fontId="0" fillId="2" borderId="0" xfId="0" applyNumberFormat="1" applyFill="1" applyProtection="1">
      <protection hidden="1"/>
    </xf>
    <xf numFmtId="11" fontId="2" fillId="2" borderId="0" xfId="0" applyNumberFormat="1" applyFont="1" applyFill="1" applyProtection="1">
      <protection hidden="1"/>
    </xf>
    <xf numFmtId="0" fontId="13" fillId="0" borderId="0" xfId="0" applyFont="1" applyAlignment="1">
      <alignment horizontal="center"/>
    </xf>
    <xf numFmtId="0" fontId="7" fillId="2" borderId="0" xfId="0" applyFont="1" applyFill="1" applyProtection="1">
      <protection locked="0"/>
    </xf>
    <xf numFmtId="0" fontId="0" fillId="2" borderId="8" xfId="0" applyFill="1" applyBorder="1"/>
    <xf numFmtId="0" fontId="12" fillId="2" borderId="0" xfId="0" applyFont="1" applyFill="1" applyAlignment="1">
      <alignment horizontal="left"/>
    </xf>
    <xf numFmtId="11" fontId="0" fillId="2" borderId="0" xfId="0" applyNumberFormat="1" applyFill="1"/>
    <xf numFmtId="0" fontId="2" fillId="2" borderId="0" xfId="0" applyFont="1" applyFill="1" applyAlignment="1" applyProtection="1">
      <alignment horizontal="right"/>
      <protection hidden="1"/>
    </xf>
    <xf numFmtId="0" fontId="1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5" fillId="2" borderId="0" xfId="0" applyFont="1" applyFill="1" applyBorder="1" applyAlignment="1" applyProtection="1">
      <alignment horizontal="right"/>
    </xf>
    <xf numFmtId="0" fontId="24" fillId="2" borderId="0" xfId="0" applyFont="1" applyFill="1" applyAlignment="1" applyProtection="1">
      <alignment horizontal="center"/>
    </xf>
    <xf numFmtId="0" fontId="8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vertical="top"/>
    </xf>
    <xf numFmtId="0" fontId="18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0" fontId="18" fillId="2" borderId="0" xfId="0" applyFont="1" applyFill="1"/>
    <xf numFmtId="0" fontId="31" fillId="2" borderId="0" xfId="0" applyFont="1" applyFill="1" applyBorder="1" applyAlignment="1" applyProtection="1">
      <alignment horizontal="left"/>
    </xf>
    <xf numFmtId="0" fontId="32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vertical="center"/>
    </xf>
    <xf numFmtId="0" fontId="24" fillId="2" borderId="7" xfId="0" applyFont="1" applyFill="1" applyBorder="1" applyAlignment="1" applyProtection="1">
      <alignment horizontal="left"/>
    </xf>
    <xf numFmtId="0" fontId="7" fillId="2" borderId="5" xfId="0" applyNumberFormat="1" applyFont="1" applyFill="1" applyBorder="1" applyProtection="1">
      <protection locked="0"/>
    </xf>
    <xf numFmtId="0" fontId="7" fillId="2" borderId="8" xfId="0" applyNumberFormat="1" applyFont="1" applyFill="1" applyBorder="1" applyProtection="1">
      <protection locked="0"/>
    </xf>
    <xf numFmtId="14" fontId="0" fillId="2" borderId="10" xfId="0" applyNumberFormat="1" applyFill="1" applyBorder="1" applyAlignment="1" applyProtection="1">
      <alignment vertical="top" wrapText="1"/>
      <protection locked="0"/>
    </xf>
    <xf numFmtId="0" fontId="18" fillId="2" borderId="0" xfId="0" applyFont="1" applyFill="1" applyProtection="1"/>
    <xf numFmtId="0" fontId="2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left"/>
    </xf>
    <xf numFmtId="0" fontId="0" fillId="2" borderId="7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left"/>
    </xf>
    <xf numFmtId="0" fontId="20" fillId="2" borderId="5" xfId="0" quotePrefix="1" applyFont="1" applyFill="1" applyBorder="1" applyProtection="1"/>
    <xf numFmtId="11" fontId="19" fillId="2" borderId="0" xfId="0" applyNumberFormat="1" applyFont="1" applyFill="1" applyBorder="1" applyProtection="1">
      <protection locked="0"/>
    </xf>
    <xf numFmtId="0" fontId="20" fillId="2" borderId="5" xfId="0" applyFont="1" applyFill="1" applyBorder="1" applyProtection="1"/>
    <xf numFmtId="0" fontId="19" fillId="2" borderId="0" xfId="1" applyNumberFormat="1" applyFont="1" applyFill="1" applyBorder="1" applyProtection="1">
      <protection locked="0"/>
    </xf>
    <xf numFmtId="0" fontId="0" fillId="2" borderId="0" xfId="0" applyFill="1" applyProtection="1"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Protection="1">
      <protection hidden="1"/>
    </xf>
    <xf numFmtId="0" fontId="25" fillId="2" borderId="0" xfId="0" applyFont="1" applyFill="1" applyProtection="1">
      <protection hidden="1"/>
    </xf>
    <xf numFmtId="164" fontId="25" fillId="2" borderId="0" xfId="1" applyNumberFormat="1" applyFont="1" applyFill="1" applyAlignment="1" applyProtection="1">
      <alignment horizontal="left"/>
      <protection hidden="1"/>
    </xf>
    <xf numFmtId="11" fontId="24" fillId="2" borderId="0" xfId="0" applyNumberFormat="1" applyFont="1" applyFill="1" applyProtection="1">
      <protection hidden="1"/>
    </xf>
    <xf numFmtId="0" fontId="16" fillId="2" borderId="4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>
      <alignment wrapText="1"/>
    </xf>
    <xf numFmtId="0" fontId="16" fillId="2" borderId="5" xfId="0" applyFont="1" applyFill="1" applyBorder="1" applyAlignment="1" applyProtection="1">
      <alignment wrapText="1"/>
    </xf>
    <xf numFmtId="0" fontId="16" fillId="2" borderId="6" xfId="0" applyFont="1" applyFill="1" applyBorder="1" applyAlignment="1" applyProtection="1">
      <alignment wrapText="1"/>
    </xf>
    <xf numFmtId="0" fontId="16" fillId="2" borderId="7" xfId="0" applyFont="1" applyFill="1" applyBorder="1" applyAlignment="1" applyProtection="1">
      <alignment wrapText="1"/>
    </xf>
    <xf numFmtId="0" fontId="16" fillId="2" borderId="8" xfId="0" applyFont="1" applyFill="1" applyBorder="1" applyAlignment="1" applyProtection="1">
      <alignment wrapText="1"/>
    </xf>
    <xf numFmtId="0" fontId="12" fillId="2" borderId="4" xfId="0" applyFont="1" applyFill="1" applyBorder="1" applyAlignment="1" applyProtection="1">
      <alignment horizontal="left"/>
      <protection locked="0"/>
    </xf>
    <xf numFmtId="0" fontId="16" fillId="2" borderId="4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5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15" fillId="2" borderId="0" xfId="0" applyFont="1" applyFill="1" applyAlignment="1">
      <alignment horizontal="right" vertical="top" wrapText="1"/>
    </xf>
    <xf numFmtId="0" fontId="15" fillId="2" borderId="0" xfId="0" applyFont="1" applyFill="1" applyAlignment="1">
      <alignment horizontal="right" vertical="top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4" fillId="2" borderId="9" xfId="0" quotePrefix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4" fillId="2" borderId="9" xfId="0" quotePrefix="1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21" fillId="2" borderId="4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0" fontId="16" fillId="2" borderId="4" xfId="0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alignment horizontal="left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6" fillId="2" borderId="8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24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 tint="-0.14996795556505021"/>
      </font>
    </dxf>
    <dxf>
      <font>
        <strike val="0"/>
        <color theme="0" tint="-0.14990691854609822"/>
      </font>
      <fill>
        <patternFill patternType="solid">
          <fgColor auto="1"/>
          <bgColor theme="0"/>
        </patternFill>
      </fill>
    </dxf>
    <dxf>
      <font>
        <strike val="0"/>
        <color theme="0" tint="-0.14993743705557422"/>
      </font>
    </dxf>
    <dxf>
      <font>
        <strike val="0"/>
        <color theme="0" tint="-0.14996795556505021"/>
      </font>
      <fill>
        <patternFill patternType="none">
          <bgColor auto="1"/>
        </patternFill>
      </fill>
    </dxf>
    <dxf>
      <font>
        <strike val="0"/>
        <color theme="0" tint="-0.14993743705557422"/>
      </font>
    </dxf>
    <dxf>
      <font>
        <strike val="0"/>
        <color theme="0" tint="-0.1499374370555742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 tint="-0.14996795556505021"/>
      </font>
    </dxf>
    <dxf>
      <font>
        <strike val="0"/>
        <color theme="0" tint="-0.14990691854609822"/>
      </font>
      <fill>
        <patternFill patternType="solid">
          <fgColor auto="1"/>
          <bgColor theme="0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 tint="-0.14993743705557422"/>
      </font>
    </dxf>
    <dxf>
      <font>
        <strike val="0"/>
        <color theme="0" tint="-0.14996795556505021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 tint="-0.14993743705557422"/>
      </font>
    </dxf>
    <dxf>
      <font>
        <strike val="0"/>
        <color theme="0" tint="-0.14993743705557422"/>
      </font>
    </dxf>
  </dxfs>
  <tableStyles count="0" defaultTableStyle="TableStyleMedium2" defaultPivotStyle="PivotStyleLight16"/>
  <colors>
    <mruColors>
      <color rgb="FFF1F9FD"/>
      <color rgb="FF000000"/>
      <color rgb="FF219BDA"/>
      <color rgb="FFD7EE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consiltant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consiltant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hyperlink" Target="https://www.consiltant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emf"/><Relationship Id="rId1" Type="http://schemas.openxmlformats.org/officeDocument/2006/relationships/hyperlink" Target="https://www.consiltant.com" TargetMode="External"/><Relationship Id="rId4" Type="http://schemas.openxmlformats.org/officeDocument/2006/relationships/hyperlink" Target="https://www.sintef.no/globalassets/project/pds/reports/sintef-a26922-common-cause-failures-in-safety-instrumented-systems--beta....pdf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consiltant.com/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1066799</xdr:colOff>
      <xdr:row>0</xdr:row>
      <xdr:rowOff>842237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CCB74-8CEB-4DD4-8FDF-B1BB4A4EEDB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238125" y="28575"/>
          <a:ext cx="971549" cy="813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1066799</xdr:colOff>
      <xdr:row>0</xdr:row>
      <xdr:rowOff>842237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05441-C0D2-45C3-BF79-6DCA554B1FA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238125" y="28575"/>
          <a:ext cx="971549" cy="813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1066799</xdr:colOff>
      <xdr:row>0</xdr:row>
      <xdr:rowOff>842237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14A18-55EB-4580-A18E-AFE288BFB25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238125" y="28575"/>
          <a:ext cx="971549" cy="81366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447675</xdr:colOff>
      <xdr:row>0</xdr:row>
      <xdr:rowOff>361950</xdr:rowOff>
    </xdr:from>
    <xdr:ext cx="1447800" cy="609600"/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26A34B8E-9874-440C-86F8-5E3A44D48BC2}"/>
            </a:ext>
          </a:extLst>
        </xdr:cNvPr>
        <xdr:cNvSpPr/>
      </xdr:nvSpPr>
      <xdr:spPr>
        <a:xfrm>
          <a:off x="7953375" y="361950"/>
          <a:ext cx="1447800" cy="609600"/>
        </a:xfrm>
        <a:prstGeom prst="wedgeRectCallout">
          <a:avLst>
            <a:gd name="adj1" fmla="val 172925"/>
            <a:gd name="adj2" fmla="val 120938"/>
          </a:avLst>
        </a:prstGeom>
        <a:solidFill>
          <a:srgbClr val="F1F9FD">
            <a:alpha val="94902"/>
          </a:srgbClr>
        </a:solidFill>
        <a:ln>
          <a:solidFill>
            <a:srgbClr val="219BDA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46800" rIns="46800" rtlCol="0" anchor="t">
          <a:spAutoFit/>
        </a:bodyPr>
        <a:lstStyle/>
        <a:p>
          <a:pPr algn="ctr"/>
          <a:r>
            <a:rPr lang="nl-NL" sz="1100">
              <a:solidFill>
                <a:schemeClr val="tx1"/>
              </a:solidFill>
            </a:rPr>
            <a:t>Enter the desired configuration by</a:t>
          </a:r>
          <a:r>
            <a:rPr lang="nl-NL" sz="1100" baseline="0">
              <a:solidFill>
                <a:schemeClr val="tx1"/>
              </a:solidFill>
            </a:rPr>
            <a:t> using the dropdown box. </a:t>
          </a:r>
          <a:endParaRPr lang="nl-NL" sz="1100">
            <a:solidFill>
              <a:schemeClr val="tx1"/>
            </a:solidFill>
          </a:endParaRPr>
        </a:p>
      </xdr:txBody>
    </xdr:sp>
    <xdr:clientData/>
  </xdr:oneCellAnchor>
  <xdr:oneCellAnchor>
    <xdr:from>
      <xdr:col>5</xdr:col>
      <xdr:colOff>400050</xdr:colOff>
      <xdr:row>0</xdr:row>
      <xdr:rowOff>809625</xdr:rowOff>
    </xdr:from>
    <xdr:ext cx="1428750" cy="609013"/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56149073-F708-47E0-999F-FA7D17A299DD}"/>
            </a:ext>
          </a:extLst>
        </xdr:cNvPr>
        <xdr:cNvSpPr/>
      </xdr:nvSpPr>
      <xdr:spPr>
        <a:xfrm>
          <a:off x="3838575" y="809625"/>
          <a:ext cx="1428750" cy="609013"/>
        </a:xfrm>
        <a:prstGeom prst="wedgeRectCallout">
          <a:avLst>
            <a:gd name="adj1" fmla="val -68093"/>
            <a:gd name="adj2" fmla="val 97361"/>
          </a:avLst>
        </a:prstGeom>
        <a:solidFill>
          <a:srgbClr val="F1F9FD">
            <a:alpha val="94902"/>
          </a:srgbClr>
        </a:solidFill>
        <a:ln>
          <a:solidFill>
            <a:srgbClr val="219BDA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46800" rIns="46800" rtlCol="0" anchor="t">
          <a:spAutoFit/>
        </a:bodyPr>
        <a:lstStyle/>
        <a:p>
          <a:pPr algn="ctr"/>
          <a:r>
            <a:rPr lang="nl-NL" sz="1100">
              <a:solidFill>
                <a:schemeClr val="tx1"/>
              </a:solidFill>
            </a:rPr>
            <a:t>Enter the (different) failure rates</a:t>
          </a:r>
          <a:r>
            <a:rPr lang="nl-NL" sz="1100" baseline="0">
              <a:solidFill>
                <a:schemeClr val="tx1"/>
              </a:solidFill>
            </a:rPr>
            <a:t> of the equipment. </a:t>
          </a:r>
          <a:endParaRPr lang="nl-NL" sz="1100">
            <a:solidFill>
              <a:schemeClr val="tx1"/>
            </a:solidFill>
          </a:endParaRPr>
        </a:p>
      </xdr:txBody>
    </xdr:sp>
    <xdr:clientData/>
  </xdr:oneCellAnchor>
  <xdr:oneCellAnchor>
    <xdr:from>
      <xdr:col>11</xdr:col>
      <xdr:colOff>381000</xdr:colOff>
      <xdr:row>11</xdr:row>
      <xdr:rowOff>47625</xdr:rowOff>
    </xdr:from>
    <xdr:ext cx="1428750" cy="609600"/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FFC9327B-594B-4580-8153-223D027F8467}"/>
            </a:ext>
          </a:extLst>
        </xdr:cNvPr>
        <xdr:cNvSpPr/>
      </xdr:nvSpPr>
      <xdr:spPr>
        <a:xfrm>
          <a:off x="7886700" y="3152775"/>
          <a:ext cx="1428750" cy="609600"/>
        </a:xfrm>
        <a:prstGeom prst="wedgeRectCallout">
          <a:avLst>
            <a:gd name="adj1" fmla="val -53426"/>
            <a:gd name="adj2" fmla="val -129063"/>
          </a:avLst>
        </a:prstGeom>
        <a:solidFill>
          <a:srgbClr val="F1F9FD">
            <a:alpha val="94902"/>
          </a:srgbClr>
        </a:solidFill>
        <a:ln>
          <a:solidFill>
            <a:srgbClr val="219BDA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46800" rIns="46800" rtlCol="0" anchor="t">
          <a:spAutoFit/>
        </a:bodyPr>
        <a:lstStyle/>
        <a:p>
          <a:pPr algn="ctr"/>
          <a:r>
            <a:rPr lang="nl-NL" sz="1100">
              <a:solidFill>
                <a:schemeClr val="tx1"/>
              </a:solidFill>
            </a:rPr>
            <a:t>Change the unit of time by</a:t>
          </a:r>
          <a:r>
            <a:rPr lang="nl-NL" sz="1100" baseline="0">
              <a:solidFill>
                <a:schemeClr val="tx1"/>
              </a:solidFill>
            </a:rPr>
            <a:t> using the dropdown box.</a:t>
          </a:r>
          <a:endParaRPr lang="nl-NL" sz="1100">
            <a:solidFill>
              <a:schemeClr val="tx1"/>
            </a:solidFill>
          </a:endParaRPr>
        </a:p>
      </xdr:txBody>
    </xdr:sp>
    <xdr:clientData/>
  </xdr:oneCellAnchor>
  <xdr:oneCellAnchor>
    <xdr:from>
      <xdr:col>18</xdr:col>
      <xdr:colOff>133350</xdr:colOff>
      <xdr:row>10</xdr:row>
      <xdr:rowOff>76200</xdr:rowOff>
    </xdr:from>
    <xdr:ext cx="1447800" cy="781240"/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CBBBD60D-647C-4500-B812-E9E51F14C005}"/>
            </a:ext>
          </a:extLst>
        </xdr:cNvPr>
        <xdr:cNvSpPr/>
      </xdr:nvSpPr>
      <xdr:spPr>
        <a:xfrm>
          <a:off x="12230100" y="2952750"/>
          <a:ext cx="1447800" cy="781240"/>
        </a:xfrm>
        <a:prstGeom prst="wedgeRectCallout">
          <a:avLst>
            <a:gd name="adj1" fmla="val -88260"/>
            <a:gd name="adj2" fmla="val -22471"/>
          </a:avLst>
        </a:prstGeom>
        <a:solidFill>
          <a:srgbClr val="F1F9FD">
            <a:alpha val="94902"/>
          </a:srgbClr>
        </a:solidFill>
        <a:ln>
          <a:solidFill>
            <a:srgbClr val="219BDA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46800" rIns="46800" rtlCol="0" anchor="t">
          <a:spAutoFit/>
        </a:bodyPr>
        <a:lstStyle/>
        <a:p>
          <a:pPr algn="ctr"/>
          <a:r>
            <a:rPr lang="nl-NL" sz="1100">
              <a:solidFill>
                <a:schemeClr val="tx1"/>
              </a:solidFill>
            </a:rPr>
            <a:t>Blue fields are input fields. Orange fields are output</a:t>
          </a:r>
          <a:r>
            <a:rPr lang="nl-NL" sz="1100" baseline="0">
              <a:solidFill>
                <a:schemeClr val="tx1"/>
              </a:solidFill>
            </a:rPr>
            <a:t> fields (calculation results)</a:t>
          </a:r>
          <a:r>
            <a:rPr lang="nl-NL" sz="1100">
              <a:solidFill>
                <a:schemeClr val="tx1"/>
              </a:solidFill>
            </a:rPr>
            <a:t>.</a:t>
          </a:r>
        </a:p>
      </xdr:txBody>
    </xdr:sp>
    <xdr:clientData/>
  </xdr:oneCellAnchor>
  <xdr:twoCellAnchor>
    <xdr:from>
      <xdr:col>1</xdr:col>
      <xdr:colOff>85723</xdr:colOff>
      <xdr:row>14</xdr:row>
      <xdr:rowOff>142874</xdr:rowOff>
    </xdr:from>
    <xdr:to>
      <xdr:col>9</xdr:col>
      <xdr:colOff>352424</xdr:colOff>
      <xdr:row>29</xdr:row>
      <xdr:rowOff>167639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A45ECA8-D6EA-44D8-81B0-21BEA9DAB546}"/>
            </a:ext>
          </a:extLst>
        </xdr:cNvPr>
        <xdr:cNvGrpSpPr/>
      </xdr:nvGrpSpPr>
      <xdr:grpSpPr>
        <a:xfrm>
          <a:off x="230503" y="3830954"/>
          <a:ext cx="6751321" cy="2767965"/>
          <a:chOff x="7953373" y="4657724"/>
          <a:chExt cx="6572251" cy="2882445"/>
        </a:xfrm>
        <a:solidFill>
          <a:srgbClr val="F1F9FD">
            <a:alpha val="94902"/>
          </a:srgbClr>
        </a:solidFill>
      </xdr:grpSpPr>
      <xdr:sp macro="" textlink="">
        <xdr:nvSpPr>
          <xdr:cNvPr id="12" name="Speech Bubble: Rectangle 11">
            <a:extLst>
              <a:ext uri="{FF2B5EF4-FFF2-40B4-BE49-F238E27FC236}">
                <a16:creationId xmlns:a16="http://schemas.microsoft.com/office/drawing/2014/main" id="{BF2AFEE6-9BFF-44D3-9DEB-061CD078E006}"/>
              </a:ext>
            </a:extLst>
          </xdr:cNvPr>
          <xdr:cNvSpPr/>
        </xdr:nvSpPr>
        <xdr:spPr>
          <a:xfrm>
            <a:off x="7953373" y="4657724"/>
            <a:ext cx="6572251" cy="2882445"/>
          </a:xfrm>
          <a:prstGeom prst="wedgeRectCallout">
            <a:avLst>
              <a:gd name="adj1" fmla="val -2821"/>
              <a:gd name="adj2" fmla="val -101470"/>
            </a:avLst>
          </a:prstGeom>
          <a:grpFill/>
          <a:ln>
            <a:solidFill>
              <a:srgbClr val="219BDA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lIns="46800" rIns="46800" rtlCol="0" anchor="t">
            <a:noAutofit/>
          </a:bodyPr>
          <a:lstStyle/>
          <a:p>
            <a:r>
              <a:rPr lang="el-G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β </a:t>
            </a:r>
            <a:r>
              <a:rPr lang="nl-NL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modifiction factor </a:t>
            </a:r>
            <a:endParaRPr lang="en-NL">
              <a:effectLst/>
            </a:endParaRPr>
          </a:p>
          <a:p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When  applying the </a:t>
            </a:r>
            <a:r>
              <a: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</a:t>
            </a:r>
            <a:r>
              <a:rPr lang="el-GR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β</a:t>
            </a:r>
            <a:r>
              <a: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-factor for common cause failure (CFF) calculations, it will be automatically modified for redundant configurations (other than 1oo2).</a:t>
            </a:r>
          </a:p>
          <a:p>
            <a:r>
              <a: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IEC 61508-6:2010 suggests the modification factor in table D.5.</a:t>
            </a: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Note: the simple PFD calculator version does not apply this modification factor.</a:t>
            </a:r>
            <a:endParaRPr lang="en-NL">
              <a:effectLst/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563BE3E-F874-4E09-A0FC-433271CF7D0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488" t="16873" r="5914" b="4527"/>
          <a:stretch/>
        </xdr:blipFill>
        <xdr:spPr bwMode="auto">
          <a:xfrm>
            <a:off x="8324850" y="5438775"/>
            <a:ext cx="5895975" cy="1819275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1066799</xdr:colOff>
      <xdr:row>0</xdr:row>
      <xdr:rowOff>842237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238125" y="28575"/>
          <a:ext cx="971549" cy="8136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4</xdr:row>
      <xdr:rowOff>9524</xdr:rowOff>
    </xdr:from>
    <xdr:to>
      <xdr:col>7</xdr:col>
      <xdr:colOff>361950</xdr:colOff>
      <xdr:row>16</xdr:row>
      <xdr:rowOff>82063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3E196E1-E1D8-45C3-B4B9-6FC41D8A49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0" r="16472"/>
        <a:stretch/>
      </xdr:blipFill>
      <xdr:spPr bwMode="auto">
        <a:xfrm>
          <a:off x="104775" y="1438274"/>
          <a:ext cx="4543425" cy="312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28576</xdr:colOff>
      <xdr:row>28</xdr:row>
      <xdr:rowOff>28575</xdr:rowOff>
    </xdr:from>
    <xdr:ext cx="7848600" cy="172227"/>
    <xdr:sp macro="" textlink="">
      <xdr:nvSpPr>
        <xdr:cNvPr id="3" name="TextBox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579F20-FA39-4208-86B9-06092238D93A}"/>
            </a:ext>
          </a:extLst>
        </xdr:cNvPr>
        <xdr:cNvSpPr txBox="1"/>
      </xdr:nvSpPr>
      <xdr:spPr>
        <a:xfrm>
          <a:off x="171451" y="5648325"/>
          <a:ext cx="7848600" cy="172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nl-NL" sz="1100" u="sng">
              <a:solidFill>
                <a:srgbClr val="219BDA"/>
              </a:solidFill>
            </a:rPr>
            <a:t>Common Cause Failures in Safety Instrumented Systems; Beta-factors and equipment specific checklists based on operational experience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28575</xdr:rowOff>
    </xdr:from>
    <xdr:to>
      <xdr:col>2</xdr:col>
      <xdr:colOff>438149</xdr:colOff>
      <xdr:row>0</xdr:row>
      <xdr:rowOff>844142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6AF56-F520-4B70-8BF1-F75E90AE7D6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323850" y="28575"/>
          <a:ext cx="971549" cy="8155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38101</xdr:rowOff>
    </xdr:from>
    <xdr:to>
      <xdr:col>2</xdr:col>
      <xdr:colOff>504824</xdr:colOff>
      <xdr:row>0</xdr:row>
      <xdr:rowOff>819150</xdr:rowOff>
    </xdr:to>
    <xdr:pic>
      <xdr:nvPicPr>
        <xdr:cNvPr id="3" name="Afbeelding 14">
          <a:extLst>
            <a:ext uri="{FF2B5EF4-FFF2-40B4-BE49-F238E27FC236}">
              <a16:creationId xmlns:a16="http://schemas.microsoft.com/office/drawing/2014/main" id="{9A3ABE2C-9C18-496A-AE53-DC92E57CC2F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485775" y="38101"/>
          <a:ext cx="971549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3F5C-409E-444F-9052-8C4198179BC4}">
  <sheetPr>
    <pageSetUpPr fitToPage="1"/>
  </sheetPr>
  <dimension ref="B1:W21"/>
  <sheetViews>
    <sheetView showGridLines="0" showRowColHeaders="0" tabSelected="1" zoomScaleNormal="100" workbookViewId="0">
      <selection activeCell="B11" sqref="B11"/>
    </sheetView>
  </sheetViews>
  <sheetFormatPr defaultColWidth="9.109375" defaultRowHeight="14.4"/>
  <cols>
    <col min="1" max="1" width="2.109375" style="15" customWidth="1"/>
    <col min="2" max="2" width="17.88671875" style="15" bestFit="1" customWidth="1"/>
    <col min="3" max="3" width="15.6640625" style="15" customWidth="1"/>
    <col min="4" max="4" width="6.5546875" style="15" bestFit="1" customWidth="1"/>
    <col min="5" max="5" width="9.33203125" style="15" customWidth="1"/>
    <col min="6" max="6" width="7.6640625" style="15" bestFit="1" customWidth="1"/>
    <col min="7" max="7" width="3.88671875" style="15" bestFit="1" customWidth="1"/>
    <col min="8" max="8" width="17.88671875" style="15" customWidth="1"/>
    <col min="9" max="9" width="15.6640625" style="15" customWidth="1"/>
    <col min="10" max="10" width="6.5546875" style="15" bestFit="1" customWidth="1"/>
    <col min="11" max="11" width="9.33203125" style="15" customWidth="1"/>
    <col min="12" max="12" width="7.6640625" style="15" bestFit="1" customWidth="1"/>
    <col min="13" max="13" width="3.88671875" style="15" bestFit="1" customWidth="1"/>
    <col min="14" max="14" width="18" style="15" customWidth="1"/>
    <col min="15" max="15" width="15.6640625" style="15" customWidth="1"/>
    <col min="16" max="16" width="6.5546875" style="15" bestFit="1" customWidth="1"/>
    <col min="17" max="17" width="9.33203125" style="15" customWidth="1"/>
    <col min="18" max="18" width="7.6640625" style="15" bestFit="1" customWidth="1"/>
    <col min="19" max="19" width="3.88671875" style="15" bestFit="1" customWidth="1"/>
    <col min="20" max="20" width="29.44140625" style="15" customWidth="1"/>
    <col min="21" max="21" width="8.5546875" style="15" customWidth="1"/>
    <col min="22" max="22" width="4" style="15" bestFit="1" customWidth="1"/>
    <col min="23" max="23" width="5.6640625" style="15" customWidth="1"/>
    <col min="24" max="16384" width="9.109375" style="15"/>
  </cols>
  <sheetData>
    <row r="1" spans="2:23" s="53" customFormat="1" ht="67.5" customHeight="1">
      <c r="C1" s="86" t="s">
        <v>67</v>
      </c>
      <c r="D1" s="86"/>
      <c r="E1" s="86"/>
      <c r="F1" s="86"/>
      <c r="G1" s="86"/>
      <c r="H1" s="54"/>
      <c r="I1" s="54"/>
      <c r="J1" s="54"/>
      <c r="K1" s="55"/>
      <c r="L1" s="55"/>
      <c r="M1" s="15"/>
      <c r="T1" s="122" t="s">
        <v>86</v>
      </c>
      <c r="U1" s="123"/>
      <c r="V1" s="123"/>
      <c r="W1" s="123"/>
    </row>
    <row r="3" spans="2:23" ht="18" customHeight="1">
      <c r="B3" s="124" t="s">
        <v>79</v>
      </c>
      <c r="C3" s="125"/>
      <c r="D3" s="125"/>
      <c r="E3" s="125"/>
      <c r="F3" s="126"/>
      <c r="G3" s="127" t="s">
        <v>11</v>
      </c>
      <c r="H3" s="124" t="s">
        <v>78</v>
      </c>
      <c r="I3" s="125"/>
      <c r="J3" s="125"/>
      <c r="K3" s="125"/>
      <c r="L3" s="126"/>
      <c r="M3" s="127" t="s">
        <v>11</v>
      </c>
      <c r="N3" s="124" t="s">
        <v>77</v>
      </c>
      <c r="O3" s="125"/>
      <c r="P3" s="125"/>
      <c r="Q3" s="125"/>
      <c r="R3" s="126"/>
      <c r="S3" s="127" t="s">
        <v>12</v>
      </c>
      <c r="T3" s="124" t="s">
        <v>9</v>
      </c>
      <c r="U3" s="125"/>
      <c r="V3" s="125"/>
      <c r="W3" s="126"/>
    </row>
    <row r="4" spans="2:23" ht="18" customHeight="1">
      <c r="B4" s="129" t="s">
        <v>68</v>
      </c>
      <c r="C4" s="130"/>
      <c r="D4" s="56"/>
      <c r="E4" s="57" t="s">
        <v>2</v>
      </c>
      <c r="F4" s="58"/>
      <c r="G4" s="128"/>
      <c r="H4" s="129" t="s">
        <v>68</v>
      </c>
      <c r="I4" s="130"/>
      <c r="J4" s="56"/>
      <c r="K4" s="57" t="s">
        <v>0</v>
      </c>
      <c r="L4" s="58"/>
      <c r="M4" s="128"/>
      <c r="N4" s="129" t="s">
        <v>68</v>
      </c>
      <c r="O4" s="130"/>
      <c r="P4" s="56"/>
      <c r="Q4" s="57" t="s">
        <v>1</v>
      </c>
      <c r="R4" s="58"/>
      <c r="S4" s="128"/>
      <c r="T4" s="115" t="str">
        <f>B3</f>
        <v xml:space="preserve"> SE - Sensor Element subsystem</v>
      </c>
      <c r="U4" s="60">
        <f>$E$10</f>
        <v>3.1539475968000003E-3</v>
      </c>
      <c r="V4" s="13"/>
      <c r="W4" s="58"/>
    </row>
    <row r="5" spans="2:23" ht="18" customHeight="1">
      <c r="B5" s="131" t="s">
        <v>69</v>
      </c>
      <c r="C5" s="132"/>
      <c r="D5" s="92" t="s">
        <v>87</v>
      </c>
      <c r="E5" s="17">
        <v>9.9999999999999995E-7</v>
      </c>
      <c r="F5" s="8" t="s">
        <v>6</v>
      </c>
      <c r="G5" s="128"/>
      <c r="H5" s="131" t="s">
        <v>69</v>
      </c>
      <c r="I5" s="132"/>
      <c r="J5" s="92" t="s">
        <v>87</v>
      </c>
      <c r="K5" s="17">
        <v>1.9999999999999999E-6</v>
      </c>
      <c r="L5" s="8" t="s">
        <v>6</v>
      </c>
      <c r="M5" s="128"/>
      <c r="N5" s="131" t="s">
        <v>69</v>
      </c>
      <c r="O5" s="132"/>
      <c r="P5" s="92" t="s">
        <v>87</v>
      </c>
      <c r="Q5" s="17">
        <v>3.9999999999999998E-7</v>
      </c>
      <c r="R5" s="8" t="s">
        <v>6</v>
      </c>
      <c r="S5" s="128"/>
      <c r="T5" s="115" t="str">
        <f>H3</f>
        <v xml:space="preserve"> LS - Logic Solver subsystem</v>
      </c>
      <c r="U5" s="60">
        <f>$K$10</f>
        <v>8.7600000000000004E-3</v>
      </c>
      <c r="V5" s="13"/>
      <c r="W5" s="58"/>
    </row>
    <row r="6" spans="2:23" ht="18" customHeight="1">
      <c r="B6" s="131" t="s">
        <v>70</v>
      </c>
      <c r="C6" s="132"/>
      <c r="D6" s="92" t="s">
        <v>88</v>
      </c>
      <c r="E6" s="17">
        <v>5.0000000000000004E-6</v>
      </c>
      <c r="F6" s="8" t="s">
        <v>6</v>
      </c>
      <c r="G6" s="128"/>
      <c r="H6" s="131" t="s">
        <v>70</v>
      </c>
      <c r="I6" s="132"/>
      <c r="J6" s="92" t="s">
        <v>88</v>
      </c>
      <c r="K6" s="17">
        <v>9.9999999999999995E-7</v>
      </c>
      <c r="L6" s="8" t="s">
        <v>6</v>
      </c>
      <c r="M6" s="128"/>
      <c r="N6" s="131" t="s">
        <v>70</v>
      </c>
      <c r="O6" s="132"/>
      <c r="P6" s="92" t="s">
        <v>88</v>
      </c>
      <c r="Q6" s="17">
        <v>3.9999999999999998E-7</v>
      </c>
      <c r="R6" s="8" t="s">
        <v>6</v>
      </c>
      <c r="S6" s="128"/>
      <c r="T6" s="115" t="str">
        <f>N3</f>
        <v xml:space="preserve"> FE - Final Element subsystem</v>
      </c>
      <c r="U6" s="22">
        <f>$Q$10</f>
        <v>1.09851128832E-3</v>
      </c>
      <c r="V6" s="14" t="s">
        <v>11</v>
      </c>
      <c r="W6" s="58"/>
    </row>
    <row r="7" spans="2:23" ht="18" customHeight="1">
      <c r="B7" s="131" t="s">
        <v>71</v>
      </c>
      <c r="C7" s="132"/>
      <c r="D7" s="92" t="s">
        <v>89</v>
      </c>
      <c r="E7" s="17">
        <v>3.9999999999999998E-7</v>
      </c>
      <c r="F7" s="8" t="s">
        <v>6</v>
      </c>
      <c r="G7" s="128"/>
      <c r="H7" s="131" t="s">
        <v>71</v>
      </c>
      <c r="I7" s="132"/>
      <c r="J7" s="92" t="s">
        <v>89</v>
      </c>
      <c r="K7" s="17">
        <v>3.9999999999999998E-7</v>
      </c>
      <c r="L7" s="8" t="s">
        <v>6</v>
      </c>
      <c r="M7" s="128"/>
      <c r="N7" s="131" t="s">
        <v>71</v>
      </c>
      <c r="O7" s="132"/>
      <c r="P7" s="92" t="s">
        <v>89</v>
      </c>
      <c r="Q7" s="17">
        <v>3.9999999999999998E-7</v>
      </c>
      <c r="R7" s="8" t="s">
        <v>6</v>
      </c>
      <c r="S7" s="128"/>
      <c r="T7" s="59" t="s">
        <v>90</v>
      </c>
      <c r="U7" s="61">
        <f>SUM(U4:U6)</f>
        <v>1.3012458885120001E-2</v>
      </c>
      <c r="V7" s="62" t="s">
        <v>10</v>
      </c>
      <c r="W7" s="24" t="str">
        <f>IF(AND(U7&lt;=0.1,U7&gt;0.01),"SIL 1",
   IF(AND(U7&lt;=0.01,U7&gt;0.001),"SIL 2",
      IF(AND(U7&lt;=0.001,U7&gt;0.0001),"SIL 3",
         IF(U7&lt;=0.0001,"SIL 4","SIL 0")
      )
   )
)</f>
        <v>SIL 1</v>
      </c>
    </row>
    <row r="8" spans="2:23" ht="18" customHeight="1">
      <c r="B8" s="131" t="s">
        <v>72</v>
      </c>
      <c r="C8" s="132"/>
      <c r="D8" s="93" t="s">
        <v>3</v>
      </c>
      <c r="E8" s="18">
        <v>10</v>
      </c>
      <c r="F8" s="7" t="s">
        <v>7</v>
      </c>
      <c r="G8" s="128"/>
      <c r="H8" s="131" t="s">
        <v>72</v>
      </c>
      <c r="I8" s="132"/>
      <c r="J8" s="93" t="s">
        <v>3</v>
      </c>
      <c r="K8" s="18">
        <v>10</v>
      </c>
      <c r="L8" s="7" t="s">
        <v>7</v>
      </c>
      <c r="M8" s="128"/>
      <c r="N8" s="131" t="s">
        <v>72</v>
      </c>
      <c r="O8" s="132"/>
      <c r="P8" s="93" t="s">
        <v>3</v>
      </c>
      <c r="Q8" s="18">
        <v>15</v>
      </c>
      <c r="R8" s="7" t="s">
        <v>7</v>
      </c>
      <c r="S8" s="128"/>
      <c r="T8" s="116"/>
      <c r="U8" s="117"/>
      <c r="V8" s="117"/>
      <c r="W8" s="118"/>
    </row>
    <row r="9" spans="2:23" ht="18" customHeight="1">
      <c r="B9" s="129" t="s">
        <v>73</v>
      </c>
      <c r="C9" s="130"/>
      <c r="D9" s="70" t="s">
        <v>4</v>
      </c>
      <c r="E9" s="63">
        <v>4</v>
      </c>
      <c r="F9" s="25" t="s">
        <v>16</v>
      </c>
      <c r="G9" s="128"/>
      <c r="H9" s="129" t="s">
        <v>73</v>
      </c>
      <c r="I9" s="130"/>
      <c r="J9" s="70" t="s">
        <v>4</v>
      </c>
      <c r="K9" s="63">
        <v>1</v>
      </c>
      <c r="L9" s="25" t="s">
        <v>16</v>
      </c>
      <c r="M9" s="128"/>
      <c r="N9" s="129" t="s">
        <v>73</v>
      </c>
      <c r="O9" s="130"/>
      <c r="P9" s="70" t="s">
        <v>4</v>
      </c>
      <c r="Q9" s="63">
        <v>4</v>
      </c>
      <c r="R9" s="25" t="s">
        <v>16</v>
      </c>
      <c r="S9" s="128"/>
      <c r="T9" s="116"/>
      <c r="U9" s="117"/>
      <c r="V9" s="117"/>
      <c r="W9" s="118"/>
    </row>
    <row r="10" spans="2:23" ht="18" customHeight="1">
      <c r="B10" s="134" t="s">
        <v>76</v>
      </c>
      <c r="C10" s="135"/>
      <c r="D10" s="94" t="s">
        <v>91</v>
      </c>
      <c r="E10" s="20">
        <f>IF(E4="1oo1",((E5*E9*IF(F9="years",8760,IF(F9="months",730,IF(F9="weeks",168,IF(F9="days",24,0)))))/2),
IF(E4="1oo2",(E5*E6*((1-E8/100)*E9*IF(F9="years",8760,IF(F9="months",730,IF(F9="weeks",168,IF(F9="days",24,0)))))^2/3+(E8/100*MIN(E5:E6)*E9*IF(F9="years",8760,IF(F9="months",730,IF(F9="weeks",168,IF(F9="days",24,0)))))/2),
IF(E4="2oo3",((E5*E6+E5*E7+E6*E7)/3*((1-E8/100)*E9*IF(F9="years",8760,IF(F9="months",730,IF(F9="weeks",168,IF(F9="days",24,0)))))^2+(E8/100*MIN(E5:E7)*E9*IF(F9="years",8760,IF(F9="months",730,IF(F9="weeks",168,IF(F9="days",24,0)))))/2),
IF(E4="1oo3",(E7*E5*E6*((1-E8/100)*E9*IF(F9="years",8760,IF(F9="months",730,IF(F9="weeks",168,IF(F9="days",24,0)))))^3/4+(E8/100*MIN(E5:E7)*E9*IF(F9="years",8760,IF(F9="months",730,IF(F9="weeks",168,IF(F9="days",24,0)))))/2),0))))</f>
        <v>3.1539475968000003E-3</v>
      </c>
      <c r="F10" s="64"/>
      <c r="G10" s="128"/>
      <c r="H10" s="134" t="s">
        <v>76</v>
      </c>
      <c r="I10" s="135"/>
      <c r="J10" s="94" t="s">
        <v>91</v>
      </c>
      <c r="K10" s="20">
        <f>IF(K4="1oo1",((K5*K9*IF(L9="years",8760,IF(L9="months",730,IF(L9="weeks",168,IF(L9="days",24,0)))))/2),
IF(K4="1oo2",(K5*K6*((1-K8/100)*K9*IF(L9="years",8760,IF(L9="months",730,IF(L9="weeks",168,IF(L9="days",24,0)))))^2/3+(K8/100*MIN(K5:K6)*K9*IF(L9="years",8760,IF(L9="months",730,IF(L9="weeks",168,IF(L9="days",24,0)))))/2),
IF(K4="2oo3",((K5*K6+K5*K7+K6*K7)/3*((1-K8/100)*K9*IF(L9="years",8760,IF(L9="months",730,IF(L9="weeks",168,IF(L9="days",24,0)))))^2+(K8/100*MIN(K5:K7)*K9*IF(L9="years",8760,IF(L9="months",730,IF(L9="weeks",168,IF(L9="days",24,0)))))/2),
IF(K4="1oo3",(K7*K5*K6*((1-K8/100)*K9*IF(L9="years",8760,IF(L9="months",730,IF(L9="weeks",168,IF(L9="days",24,0)))))^3/4+(K8/100*MIN(K5:K7)*K9*IF(L9="years",8760,IF(L9="months",730,IF(L9="weeks",168,IF(L9="days",24,0)))))/2),0))))</f>
        <v>8.7600000000000004E-3</v>
      </c>
      <c r="L10" s="64"/>
      <c r="M10" s="128"/>
      <c r="N10" s="134" t="s">
        <v>76</v>
      </c>
      <c r="O10" s="135"/>
      <c r="P10" s="94" t="s">
        <v>91</v>
      </c>
      <c r="Q10" s="20">
        <f>IF(Q4="1oo1",((Q5*Q9*IF(R9="years",8760,IF(R9="months",730,IF(R9="weeks",168,IF(R9="days",24,0)))))/2),
IF(Q4="1oo2",(Q5*Q6*((1-Q8/100)*Q9*IF(R9="years",8760,IF(R9="months",730,IF(R9="weeks",168,IF(R9="days",24,0)))))^2/3+(Q8/100*MIN(Q5:Q6)*Q9*IF(R9="years",8760,IF(R9="months",730,IF(R9="weeks",168,IF(R9="days",24,0)))))/2),
IF(Q4="2oo3",((Q5*Q6+Q5*Q7+Q6*Q7)/3*((1-Q8/100)*Q9*IF(R9="years",8760,IF(R9="months",730,IF(R9="weeks",168,IF(R9="days",24,0)))))^2+(Q8/100*MIN(Q5:Q7)*Q9*IF(R9="years",8760,IF(R9="months",730,IF(R9="weeks",168,IF(R9="days",24,0)))))/2),
IF(Q4="1oo3",(Q7*Q5*Q6*((1-Q8/100)*Q9*IF(R9="years",8760,IF(R9="months",730,IF(R9="weeks",168,IF(R9="days",24,0)))))^3/4+(Q8/100*MIN(Q5:Q7)*Q9*IF(R9="years",8760,IF(R9="months",730,IF(R9="weeks",168,IF(R9="days",24,0)))))/2),0))))</f>
        <v>1.09851128832E-3</v>
      </c>
      <c r="R10" s="64"/>
      <c r="S10" s="128"/>
      <c r="T10" s="119"/>
      <c r="U10" s="120"/>
      <c r="V10" s="120"/>
      <c r="W10" s="121"/>
    </row>
    <row r="16" spans="2:23" ht="18">
      <c r="I16" s="133"/>
      <c r="J16" s="133"/>
      <c r="K16" s="133"/>
      <c r="L16" s="133"/>
    </row>
    <row r="17" spans="6:11">
      <c r="I17" s="65"/>
      <c r="K17" s="60"/>
    </row>
    <row r="18" spans="6:11">
      <c r="F18" s="66"/>
      <c r="I18" s="65"/>
      <c r="K18" s="60"/>
    </row>
    <row r="19" spans="6:11">
      <c r="I19" s="65"/>
      <c r="K19" s="60"/>
    </row>
    <row r="20" spans="6:11">
      <c r="I20" s="65"/>
      <c r="K20" s="61"/>
    </row>
    <row r="21" spans="6:11">
      <c r="K21" s="67"/>
    </row>
  </sheetData>
  <sheetProtection algorithmName="SHA-512" hashValue="q5+eu5zlYNUKOmK3qlaWOrxRKM5D47X+qXjWHsLmOlrEF/a8SurR6sKdvhhKrUHU4GUYqemhdNErcZGcVWNj6w==" saltValue="+wClcHyLf5LA8l3TJEJ56g==" spinCount="100000" sheet="1"/>
  <mergeCells count="30">
    <mergeCell ref="I16:L16"/>
    <mergeCell ref="B9:C9"/>
    <mergeCell ref="H9:I9"/>
    <mergeCell ref="N9:O9"/>
    <mergeCell ref="B10:C10"/>
    <mergeCell ref="H10:I10"/>
    <mergeCell ref="N10:O10"/>
    <mergeCell ref="N7:O7"/>
    <mergeCell ref="B8:C8"/>
    <mergeCell ref="H8:I8"/>
    <mergeCell ref="N8:O8"/>
    <mergeCell ref="B6:C6"/>
    <mergeCell ref="H6:I6"/>
    <mergeCell ref="N6:O6"/>
    <mergeCell ref="T1:W1"/>
    <mergeCell ref="B3:F3"/>
    <mergeCell ref="G3:G10"/>
    <mergeCell ref="H3:L3"/>
    <mergeCell ref="M3:M10"/>
    <mergeCell ref="N3:R3"/>
    <mergeCell ref="S3:S10"/>
    <mergeCell ref="T3:W3"/>
    <mergeCell ref="B4:C4"/>
    <mergeCell ref="H4:I4"/>
    <mergeCell ref="N4:O4"/>
    <mergeCell ref="B5:C5"/>
    <mergeCell ref="H5:I5"/>
    <mergeCell ref="N5:O5"/>
    <mergeCell ref="B7:C7"/>
    <mergeCell ref="H7:I7"/>
  </mergeCells>
  <conditionalFormatting sqref="B6:F8">
    <cfRule type="expression" dxfId="23" priority="18">
      <formula>$E$4="1oo1"</formula>
    </cfRule>
  </conditionalFormatting>
  <conditionalFormatting sqref="B7:F7">
    <cfRule type="expression" dxfId="22" priority="20">
      <formula>$E$4="1oo2"</formula>
    </cfRule>
  </conditionalFormatting>
  <conditionalFormatting sqref="E6:E8">
    <cfRule type="expression" dxfId="21" priority="17">
      <formula>$E$4="1oo1"</formula>
    </cfRule>
  </conditionalFormatting>
  <conditionalFormatting sqref="E7">
    <cfRule type="expression" dxfId="20" priority="19">
      <formula>$E$4="1oo2"</formula>
    </cfRule>
  </conditionalFormatting>
  <conditionalFormatting sqref="H6:L8">
    <cfRule type="expression" dxfId="19" priority="6">
      <formula>$K$4="1oo1"</formula>
    </cfRule>
  </conditionalFormatting>
  <conditionalFormatting sqref="H7:L7">
    <cfRule type="expression" dxfId="18" priority="8">
      <formula>$K$4="1oo2"</formula>
    </cfRule>
  </conditionalFormatting>
  <conditionalFormatting sqref="K6:K8">
    <cfRule type="expression" dxfId="17" priority="5">
      <formula>$K$4="1oo1"</formula>
    </cfRule>
  </conditionalFormatting>
  <conditionalFormatting sqref="K7">
    <cfRule type="expression" dxfId="16" priority="7">
      <formula>$K$4="1oo2"</formula>
    </cfRule>
  </conditionalFormatting>
  <conditionalFormatting sqref="N6:R8">
    <cfRule type="expression" dxfId="15" priority="2">
      <formula>$Q$4="1oo1"</formula>
    </cfRule>
  </conditionalFormatting>
  <conditionalFormatting sqref="N7:R7">
    <cfRule type="expression" dxfId="14" priority="4">
      <formula>$Q$4="1oo2"</formula>
    </cfRule>
  </conditionalFormatting>
  <conditionalFormatting sqref="Q6:Q8">
    <cfRule type="expression" dxfId="13" priority="1">
      <formula>$Q$4="1oo1"</formula>
    </cfRule>
  </conditionalFormatting>
  <conditionalFormatting sqref="Q7">
    <cfRule type="expression" dxfId="12" priority="3">
      <formula>$Q$4="1oo2"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&amp;L&amp;D&amp;CPFD CONSILTATOR - &amp;A&amp;RConsiltant - Version 2.0</oddFooter>
  </headerFooter>
  <ignoredErrors>
    <ignoredError sqref="T4:T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C3C6C8-1C0D-4493-B1E7-A83D52F1ACCC}">
          <x14:formula1>
            <xm:f>Lists!$B$5:$B$8</xm:f>
          </x14:formula1>
          <xm:sqref>E4 K4 Q4</xm:sqref>
        </x14:dataValidation>
        <x14:dataValidation type="list" allowBlank="1" showInputMessage="1" showErrorMessage="1" xr:uid="{0FB8085F-13BB-4ECB-9E6B-3E4AC2988F6D}">
          <x14:formula1>
            <xm:f>Lists!$C$5:$C$8</xm:f>
          </x14:formula1>
          <xm:sqref>F9 R9 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4A5C-8632-4E75-8CB7-7241AFD14EB1}">
  <sheetPr>
    <pageSetUpPr fitToPage="1"/>
  </sheetPr>
  <dimension ref="A1:W60"/>
  <sheetViews>
    <sheetView showGridLines="0" showRowColHeaders="0" zoomScaleNormal="100" workbookViewId="0">
      <selection activeCell="B13" sqref="B13"/>
    </sheetView>
  </sheetViews>
  <sheetFormatPr defaultColWidth="9.109375" defaultRowHeight="14.4"/>
  <cols>
    <col min="1" max="1" width="2.109375" style="3" customWidth="1"/>
    <col min="2" max="2" width="17.88671875" style="45" bestFit="1" customWidth="1"/>
    <col min="3" max="3" width="15.6640625" style="45" customWidth="1"/>
    <col min="4" max="4" width="6.5546875" style="45" bestFit="1" customWidth="1"/>
    <col min="5" max="5" width="9.33203125" style="45" customWidth="1"/>
    <col min="6" max="6" width="7.6640625" style="45" bestFit="1" customWidth="1"/>
    <col min="7" max="7" width="3.88671875" style="45" bestFit="1" customWidth="1"/>
    <col min="8" max="8" width="17.88671875" style="45" customWidth="1"/>
    <col min="9" max="9" width="15.6640625" style="45" customWidth="1"/>
    <col min="10" max="10" width="6.5546875" style="45" bestFit="1" customWidth="1"/>
    <col min="11" max="11" width="9.33203125" style="45" customWidth="1"/>
    <col min="12" max="12" width="7.6640625" style="45" bestFit="1" customWidth="1"/>
    <col min="13" max="13" width="3.88671875" style="45" bestFit="1" customWidth="1"/>
    <col min="14" max="14" width="18" style="45" customWidth="1"/>
    <col min="15" max="15" width="15.6640625" style="45" customWidth="1"/>
    <col min="16" max="16" width="6.5546875" style="45" bestFit="1" customWidth="1"/>
    <col min="17" max="17" width="9.33203125" style="45" customWidth="1"/>
    <col min="18" max="18" width="7.6640625" style="45" customWidth="1"/>
    <col min="19" max="19" width="3.88671875" style="45" bestFit="1" customWidth="1"/>
    <col min="20" max="20" width="29.44140625" style="45" customWidth="1"/>
    <col min="21" max="21" width="8.5546875" style="45" customWidth="1"/>
    <col min="22" max="22" width="4" style="45" bestFit="1" customWidth="1"/>
    <col min="23" max="23" width="5.6640625" style="45" customWidth="1"/>
    <col min="24" max="16384" width="9.109375" style="45"/>
  </cols>
  <sheetData>
    <row r="1" spans="2:23" s="4" customFormat="1" ht="67.5" customHeight="1">
      <c r="B1" s="5"/>
      <c r="C1" s="35" t="s">
        <v>99</v>
      </c>
      <c r="D1" s="35"/>
      <c r="E1" s="35"/>
      <c r="F1" s="35"/>
      <c r="G1" s="35"/>
      <c r="H1" s="1"/>
      <c r="I1" s="1"/>
      <c r="J1" s="1"/>
      <c r="K1" s="2"/>
      <c r="L1" s="2"/>
      <c r="M1" s="3"/>
      <c r="T1" s="122" t="s">
        <v>86</v>
      </c>
      <c r="U1" s="123"/>
      <c r="V1" s="123"/>
      <c r="W1" s="123"/>
    </row>
    <row r="2" spans="2:23" s="3" customFormat="1"/>
    <row r="3" spans="2:23" s="3" customFormat="1" ht="18" customHeight="1">
      <c r="B3" s="136" t="s">
        <v>79</v>
      </c>
      <c r="C3" s="137"/>
      <c r="D3" s="137"/>
      <c r="E3" s="137"/>
      <c r="F3" s="138"/>
      <c r="G3" s="139" t="s">
        <v>11</v>
      </c>
      <c r="H3" s="136" t="s">
        <v>78</v>
      </c>
      <c r="I3" s="137"/>
      <c r="J3" s="137"/>
      <c r="K3" s="137"/>
      <c r="L3" s="138"/>
      <c r="M3" s="139" t="s">
        <v>11</v>
      </c>
      <c r="N3" s="136" t="s">
        <v>77</v>
      </c>
      <c r="O3" s="137"/>
      <c r="P3" s="137"/>
      <c r="Q3" s="137"/>
      <c r="R3" s="138"/>
      <c r="S3" s="139" t="s">
        <v>12</v>
      </c>
      <c r="T3" s="136" t="s">
        <v>9</v>
      </c>
      <c r="U3" s="137"/>
      <c r="V3" s="137"/>
      <c r="W3" s="138"/>
    </row>
    <row r="4" spans="2:23" s="3" customFormat="1" ht="18" customHeight="1">
      <c r="B4" s="131" t="s">
        <v>68</v>
      </c>
      <c r="C4" s="132"/>
      <c r="D4" s="6"/>
      <c r="E4" s="16" t="s">
        <v>1</v>
      </c>
      <c r="F4" s="7"/>
      <c r="G4" s="140"/>
      <c r="H4" s="131" t="s">
        <v>68</v>
      </c>
      <c r="I4" s="132"/>
      <c r="J4" s="6"/>
      <c r="K4" s="16" t="s">
        <v>0</v>
      </c>
      <c r="L4" s="7"/>
      <c r="M4" s="140"/>
      <c r="N4" s="131" t="s">
        <v>68</v>
      </c>
      <c r="O4" s="132"/>
      <c r="P4" s="6"/>
      <c r="Q4" s="16" t="s">
        <v>8</v>
      </c>
      <c r="R4" s="7"/>
      <c r="S4" s="140"/>
      <c r="T4" s="115" t="str">
        <f>B3</f>
        <v xml:space="preserve"> SE - Sensor Element subsystem</v>
      </c>
      <c r="U4" s="21">
        <f>$E$12</f>
        <v>4.7943830400000003E-4</v>
      </c>
      <c r="V4" s="13"/>
      <c r="W4" s="7"/>
    </row>
    <row r="5" spans="2:23" s="3" customFormat="1" ht="18" customHeight="1">
      <c r="B5" s="131" t="s">
        <v>69</v>
      </c>
      <c r="C5" s="132"/>
      <c r="D5" s="92" t="s">
        <v>87</v>
      </c>
      <c r="E5" s="17">
        <v>1.9999999999999999E-6</v>
      </c>
      <c r="F5" s="8" t="s">
        <v>6</v>
      </c>
      <c r="G5" s="140"/>
      <c r="H5" s="131" t="s">
        <v>69</v>
      </c>
      <c r="I5" s="132"/>
      <c r="J5" s="92" t="s">
        <v>87</v>
      </c>
      <c r="K5" s="17">
        <v>1.9999999999999999E-6</v>
      </c>
      <c r="L5" s="8" t="s">
        <v>6</v>
      </c>
      <c r="M5" s="140"/>
      <c r="N5" s="131" t="s">
        <v>69</v>
      </c>
      <c r="O5" s="132"/>
      <c r="P5" s="92" t="s">
        <v>87</v>
      </c>
      <c r="Q5" s="17">
        <v>3.9999999999999998E-7</v>
      </c>
      <c r="R5" s="8" t="s">
        <v>6</v>
      </c>
      <c r="S5" s="140"/>
      <c r="T5" s="115" t="str">
        <f>H3</f>
        <v xml:space="preserve"> LS - Logic Solver subsystem</v>
      </c>
      <c r="U5" s="21">
        <f>$K$12</f>
        <v>1.7082000000000007E-2</v>
      </c>
      <c r="V5" s="13"/>
      <c r="W5" s="7"/>
    </row>
    <row r="6" spans="2:23" s="3" customFormat="1" ht="18" customHeight="1">
      <c r="B6" s="131" t="s">
        <v>70</v>
      </c>
      <c r="C6" s="132"/>
      <c r="D6" s="92" t="s">
        <v>88</v>
      </c>
      <c r="E6" s="17">
        <v>9.9999999999999995E-7</v>
      </c>
      <c r="F6" s="8" t="s">
        <v>6</v>
      </c>
      <c r="G6" s="140"/>
      <c r="H6" s="131" t="s">
        <v>70</v>
      </c>
      <c r="I6" s="132"/>
      <c r="J6" s="92" t="s">
        <v>88</v>
      </c>
      <c r="K6" s="17">
        <v>9.9999999999999995E-7</v>
      </c>
      <c r="L6" s="8" t="s">
        <v>6</v>
      </c>
      <c r="M6" s="140"/>
      <c r="N6" s="131" t="s">
        <v>70</v>
      </c>
      <c r="O6" s="132"/>
      <c r="P6" s="92" t="s">
        <v>88</v>
      </c>
      <c r="Q6" s="17">
        <v>3.9999999999999998E-7</v>
      </c>
      <c r="R6" s="8" t="s">
        <v>6</v>
      </c>
      <c r="S6" s="140"/>
      <c r="T6" s="115" t="str">
        <f>N3</f>
        <v xml:space="preserve"> FE - Final Element subsystem</v>
      </c>
      <c r="U6" s="22">
        <f>$Q$12</f>
        <v>4.2149982775939546E-4</v>
      </c>
      <c r="V6" s="14" t="s">
        <v>11</v>
      </c>
      <c r="W6" s="7"/>
    </row>
    <row r="7" spans="2:23" s="3" customFormat="1" ht="18" customHeight="1">
      <c r="B7" s="131" t="s">
        <v>71</v>
      </c>
      <c r="C7" s="132"/>
      <c r="D7" s="92" t="s">
        <v>89</v>
      </c>
      <c r="E7" s="17">
        <v>3.9999999999999998E-7</v>
      </c>
      <c r="F7" s="8" t="s">
        <v>6</v>
      </c>
      <c r="G7" s="140"/>
      <c r="H7" s="131" t="s">
        <v>71</v>
      </c>
      <c r="I7" s="132"/>
      <c r="J7" s="92" t="s">
        <v>89</v>
      </c>
      <c r="K7" s="17">
        <v>3.9999999999999998E-7</v>
      </c>
      <c r="L7" s="8" t="s">
        <v>6</v>
      </c>
      <c r="M7" s="140"/>
      <c r="N7" s="131" t="s">
        <v>71</v>
      </c>
      <c r="O7" s="132"/>
      <c r="P7" s="92" t="s">
        <v>89</v>
      </c>
      <c r="Q7" s="17">
        <v>3.9999999999999998E-7</v>
      </c>
      <c r="R7" s="8" t="s">
        <v>6</v>
      </c>
      <c r="S7" s="140"/>
      <c r="T7" s="115" t="s">
        <v>90</v>
      </c>
      <c r="U7" s="23">
        <f>SUM(U4:U6)</f>
        <v>1.7982938131759402E-2</v>
      </c>
      <c r="V7" s="28" t="s">
        <v>10</v>
      </c>
      <c r="W7" s="24" t="str">
        <f>IF(AND(U7&lt;=0.1,U7&gt;0.01),"SIL 1",
   IF(AND(U7&lt;=0.01,U7&gt;0.001),"SIL 2",
      IF(AND(U7&lt;=0.001,U7&gt;0.0001),"SIL 3",
         IF(U7&lt;=0.0001,"SIL 4","SIL 0")
      )
   )
)</f>
        <v>SIL 1</v>
      </c>
    </row>
    <row r="8" spans="2:23" s="3" customFormat="1" ht="18" customHeight="1">
      <c r="B8" s="131" t="s">
        <v>72</v>
      </c>
      <c r="C8" s="132"/>
      <c r="D8" s="93" t="s">
        <v>3</v>
      </c>
      <c r="E8" s="18">
        <v>10</v>
      </c>
      <c r="F8" s="7" t="s">
        <v>7</v>
      </c>
      <c r="G8" s="140"/>
      <c r="H8" s="131" t="s">
        <v>72</v>
      </c>
      <c r="I8" s="132"/>
      <c r="J8" s="93" t="s">
        <v>3</v>
      </c>
      <c r="K8" s="18">
        <v>10</v>
      </c>
      <c r="L8" s="7" t="s">
        <v>7</v>
      </c>
      <c r="M8" s="140"/>
      <c r="N8" s="131" t="s">
        <v>72</v>
      </c>
      <c r="O8" s="132"/>
      <c r="P8" s="93" t="s">
        <v>3</v>
      </c>
      <c r="Q8" s="18">
        <v>10</v>
      </c>
      <c r="R8" s="7" t="s">
        <v>7</v>
      </c>
      <c r="S8" s="140"/>
      <c r="T8" s="109"/>
      <c r="U8" s="110"/>
      <c r="V8" s="110"/>
      <c r="W8" s="111"/>
    </row>
    <row r="9" spans="2:23" s="3" customFormat="1" ht="18" customHeight="1">
      <c r="B9" s="131" t="s">
        <v>73</v>
      </c>
      <c r="C9" s="132"/>
      <c r="D9" s="93" t="s">
        <v>4</v>
      </c>
      <c r="E9" s="19">
        <v>1</v>
      </c>
      <c r="F9" s="25" t="s">
        <v>16</v>
      </c>
      <c r="G9" s="140"/>
      <c r="H9" s="131" t="s">
        <v>73</v>
      </c>
      <c r="I9" s="132"/>
      <c r="J9" s="93" t="s">
        <v>4</v>
      </c>
      <c r="K9" s="19">
        <v>12</v>
      </c>
      <c r="L9" s="25" t="s">
        <v>17</v>
      </c>
      <c r="M9" s="140"/>
      <c r="N9" s="131" t="s">
        <v>73</v>
      </c>
      <c r="O9" s="132"/>
      <c r="P9" s="93" t="s">
        <v>4</v>
      </c>
      <c r="Q9" s="19">
        <v>4</v>
      </c>
      <c r="R9" s="25" t="s">
        <v>16</v>
      </c>
      <c r="S9" s="140"/>
      <c r="T9" s="109"/>
      <c r="U9" s="110"/>
      <c r="V9" s="110"/>
      <c r="W9" s="111"/>
    </row>
    <row r="10" spans="2:23" s="3" customFormat="1" ht="18" customHeight="1">
      <c r="B10" s="131" t="s">
        <v>74</v>
      </c>
      <c r="C10" s="132"/>
      <c r="D10" s="93" t="s">
        <v>28</v>
      </c>
      <c r="E10" s="18">
        <v>100</v>
      </c>
      <c r="F10" s="7" t="s">
        <v>7</v>
      </c>
      <c r="G10" s="140"/>
      <c r="H10" s="131" t="s">
        <v>74</v>
      </c>
      <c r="I10" s="132"/>
      <c r="J10" s="93" t="s">
        <v>28</v>
      </c>
      <c r="K10" s="18">
        <v>95</v>
      </c>
      <c r="L10" s="7" t="s">
        <v>7</v>
      </c>
      <c r="M10" s="140"/>
      <c r="N10" s="131" t="s">
        <v>74</v>
      </c>
      <c r="O10" s="132"/>
      <c r="P10" s="93" t="s">
        <v>28</v>
      </c>
      <c r="Q10" s="18">
        <v>95</v>
      </c>
      <c r="R10" s="7" t="s">
        <v>7</v>
      </c>
      <c r="S10" s="140"/>
      <c r="T10" s="109"/>
      <c r="U10" s="110"/>
      <c r="V10" s="110"/>
      <c r="W10" s="111"/>
    </row>
    <row r="11" spans="2:23" s="3" customFormat="1" ht="18" customHeight="1">
      <c r="B11" s="131" t="s">
        <v>75</v>
      </c>
      <c r="C11" s="132"/>
      <c r="D11" s="93" t="s">
        <v>29</v>
      </c>
      <c r="E11" s="19">
        <v>20</v>
      </c>
      <c r="F11" s="7" t="s">
        <v>16</v>
      </c>
      <c r="G11" s="140"/>
      <c r="H11" s="131" t="s">
        <v>75</v>
      </c>
      <c r="I11" s="132"/>
      <c r="J11" s="93" t="s">
        <v>29</v>
      </c>
      <c r="K11" s="19">
        <v>20</v>
      </c>
      <c r="L11" s="7" t="s">
        <v>16</v>
      </c>
      <c r="M11" s="140"/>
      <c r="N11" s="131" t="s">
        <v>75</v>
      </c>
      <c r="O11" s="132"/>
      <c r="P11" s="93" t="s">
        <v>29</v>
      </c>
      <c r="Q11" s="19">
        <v>20</v>
      </c>
      <c r="R11" s="7" t="s">
        <v>16</v>
      </c>
      <c r="S11" s="140"/>
      <c r="T11" s="109"/>
      <c r="U11" s="110"/>
      <c r="V11" s="110"/>
      <c r="W11" s="111"/>
    </row>
    <row r="12" spans="2:23" s="3" customFormat="1" ht="18" customHeight="1">
      <c r="B12" s="141" t="s">
        <v>76</v>
      </c>
      <c r="C12" s="142"/>
      <c r="D12" s="94" t="s">
        <v>91</v>
      </c>
      <c r="E12" s="20">
        <f xml:space="preserve">
IF(E4="1oo1",E42,
IF(E4="1oo2",E46,
IF(E4="2oo3",E59,
IF(E4="1oo3",E54,
0))))</f>
        <v>4.7943830400000003E-4</v>
      </c>
      <c r="F12" s="9"/>
      <c r="G12" s="140"/>
      <c r="H12" s="141" t="s">
        <v>76</v>
      </c>
      <c r="I12" s="142"/>
      <c r="J12" s="94" t="s">
        <v>91</v>
      </c>
      <c r="K12" s="20">
        <f xml:space="preserve">
IF(K4="1oo1",K42,
IF(K4="1oo2",K46,
IF(K4="2oo3",K59,
IF(K4="1oo3",K54,
0))))</f>
        <v>1.7082000000000007E-2</v>
      </c>
      <c r="L12" s="9"/>
      <c r="M12" s="140"/>
      <c r="N12" s="141" t="s">
        <v>76</v>
      </c>
      <c r="O12" s="142"/>
      <c r="P12" s="94" t="s">
        <v>91</v>
      </c>
      <c r="Q12" s="20">
        <f xml:space="preserve">
IF(Q4="1oo1",Q42,
IF(Q4="1oo2",Q46,
IF(Q4="2oo3",Q59,
IF(Q4="1oo3",Q54,
0))))</f>
        <v>4.2149982775939546E-4</v>
      </c>
      <c r="R12" s="9"/>
      <c r="S12" s="140"/>
      <c r="T12" s="112"/>
      <c r="U12" s="113"/>
      <c r="V12" s="113"/>
      <c r="W12" s="114"/>
    </row>
    <row r="13" spans="2:23" s="3" customFormat="1"/>
    <row r="14" spans="2:23" s="3" customFormat="1"/>
    <row r="15" spans="2:23" s="3" customFormat="1" ht="18" hidden="1">
      <c r="B15" s="136" t="s">
        <v>98</v>
      </c>
      <c r="C15" s="137"/>
      <c r="D15" s="137"/>
      <c r="E15" s="138"/>
      <c r="O15" s="71"/>
      <c r="P15" s="69"/>
    </row>
    <row r="16" spans="2:23" s="3" customFormat="1" ht="15.6" hidden="1">
      <c r="B16" s="131" t="s">
        <v>97</v>
      </c>
      <c r="C16" s="132"/>
      <c r="D16" s="143" t="s">
        <v>61</v>
      </c>
      <c r="E16" s="144"/>
      <c r="O16" s="69"/>
      <c r="P16" s="69"/>
    </row>
    <row r="17" spans="1:20" s="3" customFormat="1" ht="15" hidden="1">
      <c r="B17" s="131" t="s">
        <v>80</v>
      </c>
      <c r="C17" s="132"/>
      <c r="D17" s="47" t="s">
        <v>50</v>
      </c>
      <c r="E17" s="88">
        <v>1</v>
      </c>
      <c r="O17" s="71"/>
      <c r="P17" s="74"/>
    </row>
    <row r="18" spans="1:20" s="3" customFormat="1" ht="15" hidden="1">
      <c r="B18" s="131" t="s">
        <v>81</v>
      </c>
      <c r="C18" s="132"/>
      <c r="D18" s="47" t="s">
        <v>51</v>
      </c>
      <c r="E18" s="88">
        <v>0.5</v>
      </c>
      <c r="O18" s="72"/>
      <c r="P18" s="73"/>
    </row>
    <row r="19" spans="1:20" s="3" customFormat="1" ht="15" hidden="1">
      <c r="B19" s="141" t="s">
        <v>82</v>
      </c>
      <c r="C19" s="142"/>
      <c r="D19" s="87" t="s">
        <v>52</v>
      </c>
      <c r="E19" s="89">
        <v>1.5</v>
      </c>
      <c r="O19" s="72"/>
      <c r="P19" s="73"/>
    </row>
    <row r="20" spans="1:20" s="3" customFormat="1" hidden="1">
      <c r="O20" s="72"/>
      <c r="P20" s="73"/>
    </row>
    <row r="21" spans="1:20" hidden="1"/>
    <row r="22" spans="1:20" s="101" customFormat="1" hidden="1">
      <c r="A22" s="100"/>
    </row>
    <row r="23" spans="1:20" s="103" customFormat="1" hidden="1">
      <c r="A23" s="102"/>
      <c r="D23" s="104" t="s">
        <v>3</v>
      </c>
      <c r="E23" s="103">
        <f>E8/100</f>
        <v>0.1</v>
      </c>
      <c r="J23" s="104" t="s">
        <v>3</v>
      </c>
      <c r="K23" s="103">
        <f>K8/100</f>
        <v>0.1</v>
      </c>
      <c r="M23" s="105"/>
      <c r="P23" s="104" t="s">
        <v>3</v>
      </c>
      <c r="Q23" s="103">
        <f>Q8/100</f>
        <v>0.1</v>
      </c>
      <c r="T23" s="106"/>
    </row>
    <row r="24" spans="1:20" s="103" customFormat="1" ht="15" hidden="1">
      <c r="A24" s="102"/>
      <c r="D24" s="104" t="s">
        <v>50</v>
      </c>
      <c r="E24" s="103">
        <f>$E$17</f>
        <v>1</v>
      </c>
      <c r="J24" s="104" t="s">
        <v>50</v>
      </c>
      <c r="K24" s="103">
        <f>$E$17</f>
        <v>1</v>
      </c>
      <c r="M24" s="105"/>
      <c r="P24" s="104" t="s">
        <v>50</v>
      </c>
      <c r="Q24" s="103">
        <f>$E$17</f>
        <v>1</v>
      </c>
      <c r="T24" s="106"/>
    </row>
    <row r="25" spans="1:20" s="103" customFormat="1" ht="15" hidden="1">
      <c r="A25" s="102"/>
      <c r="D25" s="104" t="s">
        <v>51</v>
      </c>
      <c r="E25" s="103">
        <f>$E$18</f>
        <v>0.5</v>
      </c>
      <c r="J25" s="104" t="s">
        <v>51</v>
      </c>
      <c r="K25" s="103">
        <f>$E$18</f>
        <v>0.5</v>
      </c>
      <c r="M25" s="105"/>
      <c r="P25" s="104" t="s">
        <v>51</v>
      </c>
      <c r="Q25" s="103">
        <f>$E$18</f>
        <v>0.5</v>
      </c>
      <c r="T25" s="106"/>
    </row>
    <row r="26" spans="1:20" s="103" customFormat="1" ht="15" hidden="1">
      <c r="A26" s="102"/>
      <c r="D26" s="104" t="s">
        <v>52</v>
      </c>
      <c r="E26" s="103">
        <f>$E$19</f>
        <v>1.5</v>
      </c>
      <c r="J26" s="104" t="s">
        <v>52</v>
      </c>
      <c r="K26" s="103">
        <f>$E$19</f>
        <v>1.5</v>
      </c>
      <c r="M26" s="105"/>
      <c r="P26" s="104" t="s">
        <v>52</v>
      </c>
      <c r="Q26" s="103">
        <f>$E$19</f>
        <v>1.5</v>
      </c>
      <c r="T26" s="106"/>
    </row>
    <row r="27" spans="1:20" s="103" customFormat="1" hidden="1">
      <c r="A27" s="102"/>
      <c r="D27" s="103" t="s">
        <v>4</v>
      </c>
      <c r="E27" s="103">
        <f>E9*IF(F9="years",8760,IF(F9="months",730,IF(F9="weeks",168,IF(F9="days",24,0))))</f>
        <v>8760</v>
      </c>
      <c r="F27" s="103" t="s">
        <v>33</v>
      </c>
      <c r="J27" s="103" t="s">
        <v>4</v>
      </c>
      <c r="K27" s="103">
        <f>K9*IF(L9="years",8760,IF(L9="months",730,IF(L9="weeks",168,IF(L9="days",24,0))))</f>
        <v>8760</v>
      </c>
      <c r="L27" s="103" t="s">
        <v>33</v>
      </c>
      <c r="M27" s="105"/>
      <c r="P27" s="103" t="s">
        <v>4</v>
      </c>
      <c r="Q27" s="103">
        <f>Q9*IF(R9="years",8760,IF(R9="months",730,IF(R9="weeks",168,IF(R9="days",24,0))))</f>
        <v>35040</v>
      </c>
      <c r="R27" s="103" t="s">
        <v>33</v>
      </c>
      <c r="T27" s="107"/>
    </row>
    <row r="28" spans="1:20" s="103" customFormat="1" hidden="1">
      <c r="A28" s="102"/>
      <c r="D28" s="103" t="s">
        <v>29</v>
      </c>
      <c r="E28" s="103">
        <f>E11*8760</f>
        <v>175200</v>
      </c>
      <c r="F28" s="103" t="s">
        <v>33</v>
      </c>
      <c r="J28" s="103" t="s">
        <v>29</v>
      </c>
      <c r="K28" s="103">
        <f>K11*8760</f>
        <v>175200</v>
      </c>
      <c r="L28" s="103" t="s">
        <v>33</v>
      </c>
      <c r="M28" s="105"/>
      <c r="P28" s="103" t="s">
        <v>29</v>
      </c>
      <c r="Q28" s="103">
        <f>Q11*8760</f>
        <v>175200</v>
      </c>
      <c r="R28" s="103" t="s">
        <v>33</v>
      </c>
      <c r="T28" s="107"/>
    </row>
    <row r="29" spans="1:20" s="103" customFormat="1" ht="15" hidden="1">
      <c r="A29" s="102"/>
      <c r="D29" s="104" t="s">
        <v>34</v>
      </c>
      <c r="E29" s="108">
        <f>E10/100*E5</f>
        <v>1.9999999999999999E-6</v>
      </c>
      <c r="F29" s="108"/>
      <c r="J29" s="104" t="s">
        <v>34</v>
      </c>
      <c r="K29" s="108">
        <f>K10/100*K5</f>
        <v>1.8999999999999998E-6</v>
      </c>
      <c r="L29" s="108"/>
      <c r="M29" s="105"/>
      <c r="P29" s="104" t="s">
        <v>34</v>
      </c>
      <c r="Q29" s="108">
        <f>Q10/100*Q5</f>
        <v>3.7999999999999996E-7</v>
      </c>
      <c r="R29" s="108"/>
      <c r="T29" s="107"/>
    </row>
    <row r="30" spans="1:20" s="103" customFormat="1" ht="15" hidden="1">
      <c r="A30" s="102"/>
      <c r="D30" s="104" t="s">
        <v>35</v>
      </c>
      <c r="E30" s="108">
        <f>E10/100*E6</f>
        <v>9.9999999999999995E-7</v>
      </c>
      <c r="J30" s="104" t="s">
        <v>35</v>
      </c>
      <c r="K30" s="108">
        <f>K10/100*K6</f>
        <v>9.499999999999999E-7</v>
      </c>
      <c r="M30" s="105"/>
      <c r="P30" s="104" t="s">
        <v>35</v>
      </c>
      <c r="Q30" s="108">
        <f>Q10/100*Q6</f>
        <v>3.7999999999999996E-7</v>
      </c>
      <c r="T30" s="107"/>
    </row>
    <row r="31" spans="1:20" s="103" customFormat="1" ht="15" hidden="1">
      <c r="A31" s="102"/>
      <c r="D31" s="104" t="s">
        <v>36</v>
      </c>
      <c r="E31" s="108">
        <f>E10/100*E7</f>
        <v>3.9999999999999998E-7</v>
      </c>
      <c r="J31" s="104" t="s">
        <v>36</v>
      </c>
      <c r="K31" s="108">
        <f>K10/100*K7</f>
        <v>3.7999999999999996E-7</v>
      </c>
      <c r="M31" s="105"/>
      <c r="P31" s="104" t="s">
        <v>36</v>
      </c>
      <c r="Q31" s="108">
        <f>Q10/100*Q7</f>
        <v>3.7999999999999996E-7</v>
      </c>
      <c r="T31" s="107"/>
    </row>
    <row r="32" spans="1:20" s="103" customFormat="1" ht="15" hidden="1">
      <c r="A32" s="102"/>
      <c r="D32" s="104" t="s">
        <v>37</v>
      </c>
      <c r="E32" s="108">
        <f>(1-E10/100)*E5</f>
        <v>0</v>
      </c>
      <c r="J32" s="104" t="s">
        <v>37</v>
      </c>
      <c r="K32" s="108">
        <f>(1-K10/100)*K5</f>
        <v>1.0000000000000009E-7</v>
      </c>
      <c r="M32" s="105"/>
      <c r="P32" s="104" t="s">
        <v>37</v>
      </c>
      <c r="Q32" s="108">
        <f>(1-Q10/100)*Q5</f>
        <v>2.0000000000000017E-8</v>
      </c>
      <c r="T32" s="107"/>
    </row>
    <row r="33" spans="1:17" s="103" customFormat="1" ht="15" hidden="1">
      <c r="A33" s="102"/>
      <c r="D33" s="104" t="s">
        <v>38</v>
      </c>
      <c r="E33" s="108">
        <f>(1-E10/100)*E6</f>
        <v>0</v>
      </c>
      <c r="J33" s="104" t="s">
        <v>38</v>
      </c>
      <c r="K33" s="108">
        <f>(1-K10/100)*K6</f>
        <v>5.0000000000000044E-8</v>
      </c>
      <c r="M33" s="105"/>
      <c r="P33" s="104" t="s">
        <v>38</v>
      </c>
      <c r="Q33" s="108">
        <f>(1-Q10/100)*Q6</f>
        <v>2.0000000000000017E-8</v>
      </c>
    </row>
    <row r="34" spans="1:17" s="103" customFormat="1" ht="15" hidden="1">
      <c r="A34" s="102"/>
      <c r="D34" s="104" t="s">
        <v>39</v>
      </c>
      <c r="E34" s="108">
        <f>(1-E10/100)*E7</f>
        <v>0</v>
      </c>
      <c r="J34" s="104" t="s">
        <v>39</v>
      </c>
      <c r="K34" s="108">
        <f>(1-K10/100)*K7</f>
        <v>2.0000000000000017E-8</v>
      </c>
      <c r="M34" s="105"/>
      <c r="P34" s="104" t="s">
        <v>39</v>
      </c>
      <c r="Q34" s="108">
        <f>(1-Q10/100)*Q7</f>
        <v>2.0000000000000017E-8</v>
      </c>
    </row>
    <row r="35" spans="1:17" s="103" customFormat="1" ht="15" hidden="1">
      <c r="A35" s="102"/>
      <c r="D35" s="104" t="s">
        <v>64</v>
      </c>
      <c r="E35" s="108">
        <f>IF($D$16=Lists!$D$5, MIN(E$5:E$6),
   IF($D$16=Lists!$D$6, MAX(E$5:E$6),
      IF($D$16=Lists!$D$7, AVERAGE(E$5:E$6),
         IF($D$16=Lists!$D$8, GEOMEAN(E$5:E$6),
            IF($D$16=Lists!$D$9, SQRT(SUMSQ(E$5:E$6)/COUNT(E$5:E$6)), MIN(E$5:E$6))
         )
      )
   )
)</f>
        <v>9.9999999999999995E-7</v>
      </c>
      <c r="J35" s="104" t="s">
        <v>64</v>
      </c>
      <c r="K35" s="108">
        <f>IF($D$16=Lists!$D$5, MIN(K$5:K$6),
   IF($D$16=Lists!$D$6, MAX(K$5:K$6),
      IF($D$16=Lists!$D$7, AVERAGE(K$5:K$6),
         IF($D$16=Lists!$D$8, GEOMEAN(K$5:K$6),
            IF($D$16=Lists!$D$9, SQRT(SUMSQ(K$5:K$6)/COUNT(K$5:K$6)), MIN(K$5:K$6))
         )
      )
   )
)</f>
        <v>9.9999999999999995E-7</v>
      </c>
      <c r="M35" s="105"/>
      <c r="P35" s="104" t="s">
        <v>64</v>
      </c>
      <c r="Q35" s="108">
        <f>IF($D$16=Lists!$D$5, MIN(Q$5:Q$6),
   IF($D$16=Lists!$D$6, MAX(Q$5:Q$6),
      IF($D$16=Lists!$D$7, AVERAGE(Q$5:Q$6),
         IF($D$16=Lists!$D$8, GEOMEAN(Q$5:Q$6),
            IF($D$16=Lists!$D$9, SQRT(SUMSQ(Q$5:Q$6)/COUNT(Q$5:Q$6)), MIN(Q$5:Q$6))
         )
      )
   )
)</f>
        <v>3.9999999999999998E-7</v>
      </c>
    </row>
    <row r="36" spans="1:17" s="103" customFormat="1" ht="15" hidden="1">
      <c r="A36" s="102"/>
      <c r="D36" s="104" t="s">
        <v>65</v>
      </c>
      <c r="E36" s="108">
        <f>IF($D$16=Lists!$D$5, MIN(E$5:E$7),
   IF($D$16=Lists!$D$6, MAX(E$5:E$7),
      IF($D$16=Lists!$D$7, AVERAGE(E$5:E$7),
         IF($D$16=Lists!$D$8, GEOMEAN(E$5:E$7),
            IF($D$16=Lists!$D$9, SQRT(SUMSQ(E$5:E$7)/COUNT(E$5:E$7)), MIN(E$5:E$7))
         )
      )
   )
)</f>
        <v>3.9999999999999998E-7</v>
      </c>
      <c r="J36" s="104" t="s">
        <v>65</v>
      </c>
      <c r="K36" s="108">
        <f>IF($D$16=Lists!$D$5, MIN(K$5:K$7),
   IF($D$16=Lists!$D$6, MAX(K$5:K$7),
      IF($D$16=Lists!$D$7, AVERAGE(K$5:K$7),
         IF($D$16=Lists!$D$8, GEOMEAN(K$5:K$7),
            IF($D$16=Lists!$D$9, SQRT(SUMSQ(K$5:K$7)/COUNT(K$5:K$7)), MIN(K$5:K$7))
         )
      )
   )
)</f>
        <v>3.9999999999999998E-7</v>
      </c>
      <c r="M36" s="105"/>
      <c r="P36" s="104" t="s">
        <v>65</v>
      </c>
      <c r="Q36" s="108">
        <f>IF($D$16=Lists!$D$5, MIN(Q$5:Q$7),
   IF($D$16=Lists!$D$6, MAX(Q$5:Q$7),
      IF($D$16=Lists!$D$7, AVERAGE(Q$5:Q$7),
         IF($D$16=Lists!$D$8, GEOMEAN(Q$5:Q$7),
            IF($D$16=Lists!$D$9, SQRT(SUMSQ(Q$5:Q$7)/COUNT(Q$5:Q$7)), MIN(Q$5:Q$7))
         )
      )
   )
)</f>
        <v>3.9999999999999998E-7</v>
      </c>
    </row>
    <row r="37" spans="1:17" s="103" customFormat="1" ht="15" hidden="1">
      <c r="A37" s="102"/>
      <c r="D37" s="104" t="s">
        <v>40</v>
      </c>
      <c r="E37" s="108">
        <f>E10/100*E35</f>
        <v>9.9999999999999995E-7</v>
      </c>
      <c r="J37" s="104" t="s">
        <v>40</v>
      </c>
      <c r="K37" s="108">
        <f>K10/100*K35</f>
        <v>9.499999999999999E-7</v>
      </c>
      <c r="M37" s="105"/>
      <c r="P37" s="104" t="s">
        <v>40</v>
      </c>
      <c r="Q37" s="108">
        <f>Q10/100*Q35</f>
        <v>3.7999999999999996E-7</v>
      </c>
    </row>
    <row r="38" spans="1:17" s="103" customFormat="1" ht="15" hidden="1">
      <c r="A38" s="102"/>
      <c r="D38" s="104" t="s">
        <v>41</v>
      </c>
      <c r="E38" s="108">
        <f>(1-E10/100)*E35</f>
        <v>0</v>
      </c>
      <c r="J38" s="104" t="s">
        <v>41</v>
      </c>
      <c r="K38" s="108">
        <f>(1-K10/100)*K35</f>
        <v>5.0000000000000044E-8</v>
      </c>
      <c r="M38" s="105"/>
      <c r="P38" s="104" t="s">
        <v>41</v>
      </c>
      <c r="Q38" s="108">
        <f>(1-Q10/100)*Q35</f>
        <v>2.0000000000000017E-8</v>
      </c>
    </row>
    <row r="39" spans="1:17" s="103" customFormat="1" ht="15" hidden="1">
      <c r="A39" s="102"/>
      <c r="D39" s="104" t="s">
        <v>42</v>
      </c>
      <c r="E39" s="108">
        <f>E10/100*E36</f>
        <v>3.9999999999999998E-7</v>
      </c>
      <c r="J39" s="104" t="s">
        <v>42</v>
      </c>
      <c r="K39" s="108">
        <f>K10/100*K36</f>
        <v>3.7999999999999996E-7</v>
      </c>
      <c r="M39" s="105"/>
      <c r="P39" s="104" t="s">
        <v>42</v>
      </c>
      <c r="Q39" s="108">
        <f>Q10/100*Q36</f>
        <v>3.7999999999999996E-7</v>
      </c>
    </row>
    <row r="40" spans="1:17" s="103" customFormat="1" ht="15" hidden="1">
      <c r="A40" s="102"/>
      <c r="D40" s="104" t="s">
        <v>43</v>
      </c>
      <c r="E40" s="108">
        <f>(1-E10/100)*E36</f>
        <v>0</v>
      </c>
      <c r="J40" s="104" t="s">
        <v>43</v>
      </c>
      <c r="K40" s="108">
        <f>(1-K10/100)*K36</f>
        <v>2.0000000000000017E-8</v>
      </c>
      <c r="M40" s="105"/>
      <c r="P40" s="104" t="s">
        <v>43</v>
      </c>
      <c r="Q40" s="108">
        <f>(1-Q10/100)*Q36</f>
        <v>2.0000000000000017E-8</v>
      </c>
    </row>
    <row r="41" spans="1:17" s="103" customFormat="1" hidden="1">
      <c r="A41" s="102"/>
    </row>
    <row r="42" spans="1:17" s="103" customFormat="1" hidden="1">
      <c r="A42" s="102"/>
      <c r="C42" s="103" t="s">
        <v>0</v>
      </c>
      <c r="D42" s="103" t="s">
        <v>5</v>
      </c>
      <c r="E42" s="108">
        <f>E29*E27/2+E32*E28/2</f>
        <v>8.7600000000000004E-3</v>
      </c>
      <c r="I42" s="103" t="s">
        <v>0</v>
      </c>
      <c r="J42" s="103" t="s">
        <v>5</v>
      </c>
      <c r="K42" s="108">
        <f>K29*K27/2+K32*K28/2</f>
        <v>1.7082000000000007E-2</v>
      </c>
      <c r="O42" s="103" t="s">
        <v>0</v>
      </c>
      <c r="P42" s="103" t="s">
        <v>5</v>
      </c>
      <c r="Q42" s="108">
        <f>Q29*Q27/2+Q32*Q28/2</f>
        <v>8.4096000000000014E-3</v>
      </c>
    </row>
    <row r="43" spans="1:17" s="103" customFormat="1" hidden="1">
      <c r="A43" s="102"/>
    </row>
    <row r="44" spans="1:17" s="103" customFormat="1" ht="15" hidden="1">
      <c r="A44" s="102"/>
      <c r="C44" s="103" t="s">
        <v>1</v>
      </c>
      <c r="D44" s="103" t="s">
        <v>44</v>
      </c>
      <c r="E44" s="108">
        <f>(1-E23*E24)*(E29*E27/2+E32*E28/2)</f>
        <v>7.8840000000000004E-3</v>
      </c>
      <c r="I44" s="103" t="s">
        <v>1</v>
      </c>
      <c r="J44" s="103" t="s">
        <v>44</v>
      </c>
      <c r="K44" s="108">
        <f>(1-K23*K24)*(K29*K27/2+K32*K28/2)</f>
        <v>1.5373800000000007E-2</v>
      </c>
      <c r="O44" s="103" t="s">
        <v>1</v>
      </c>
      <c r="P44" s="103" t="s">
        <v>44</v>
      </c>
      <c r="Q44" s="108">
        <f>(1-Q23*Q24)*(Q29*Q27/2+Q32*Q28/2)</f>
        <v>7.5686400000000015E-3</v>
      </c>
    </row>
    <row r="45" spans="1:17" s="103" customFormat="1" ht="15" hidden="1">
      <c r="A45" s="102"/>
      <c r="D45" s="103" t="s">
        <v>45</v>
      </c>
      <c r="E45" s="108">
        <f>(1-E23*E24)*(E30*E27/2+E33*E28/2)</f>
        <v>3.9420000000000002E-3</v>
      </c>
      <c r="J45" s="103" t="s">
        <v>45</v>
      </c>
      <c r="K45" s="108">
        <f>(1-K23*K24)*(K30*K27/2+K33*K28/2)</f>
        <v>7.6869000000000035E-3</v>
      </c>
      <c r="P45" s="103" t="s">
        <v>45</v>
      </c>
      <c r="Q45" s="108">
        <f>(1-Q23*Q24)*(Q30*Q27/2+Q33*Q28/2)</f>
        <v>7.5686400000000015E-3</v>
      </c>
    </row>
    <row r="46" spans="1:17" s="103" customFormat="1" hidden="1">
      <c r="A46" s="102"/>
      <c r="D46" s="103" t="s">
        <v>5</v>
      </c>
      <c r="E46" s="108">
        <f>(1-E23*E24)*((E44*E30+E45*E29)*E27/3+(E44*E33+E45*E32)*E28/3)+E23*E24*(E37*E27/2+E38*E28/2)</f>
        <v>4.7943830400000003E-4</v>
      </c>
      <c r="J46" s="103" t="s">
        <v>5</v>
      </c>
      <c r="K46" s="108">
        <f>(1-K23*K24)*((K44*K30+K45*K29)*K27/3+(K44*K33+K45*K32)*K28/3)+K23*K24*(K37*K27/2+K38*K28/2)</f>
        <v>1.0116691509600006E-3</v>
      </c>
      <c r="P46" s="103" t="s">
        <v>5</v>
      </c>
      <c r="Q46" s="108">
        <f>(1-Q23*Q24)*((Q44*Q30+Q45*Q29)*Q27/3+(Q44*Q33+Q45*Q32)*Q28/3)+Q23*Q24*(Q37*Q27/2+Q38*Q28/2)</f>
        <v>9.1733908193280026E-4</v>
      </c>
    </row>
    <row r="47" spans="1:17" s="103" customFormat="1" hidden="1">
      <c r="A47" s="102"/>
    </row>
    <row r="48" spans="1:17" s="103" customFormat="1" ht="15" hidden="1">
      <c r="A48" s="102"/>
      <c r="C48" s="103" t="s">
        <v>8</v>
      </c>
      <c r="D48" s="103" t="s">
        <v>44</v>
      </c>
      <c r="E48" s="108">
        <f>(1-E23*E25)*(E29*E27/2+E32*E28/2)</f>
        <v>8.3219999999999995E-3</v>
      </c>
      <c r="I48" s="103" t="s">
        <v>8</v>
      </c>
      <c r="J48" s="103" t="s">
        <v>44</v>
      </c>
      <c r="K48" s="108">
        <f>(1-K23*K25)*(K29*K27/2+K32*K28/2)</f>
        <v>1.6227900000000007E-2</v>
      </c>
      <c r="O48" s="103" t="s">
        <v>8</v>
      </c>
      <c r="P48" s="103" t="s">
        <v>44</v>
      </c>
      <c r="Q48" s="108">
        <f>(1-Q23*Q25)*(Q29*Q27/2+Q32*Q28/2)</f>
        <v>7.9891200000000006E-3</v>
      </c>
    </row>
    <row r="49" spans="1:17" s="103" customFormat="1" ht="15" hidden="1">
      <c r="A49" s="102"/>
      <c r="D49" s="103" t="s">
        <v>45</v>
      </c>
      <c r="E49" s="108">
        <f>(1-E23*E25)*(E30*E27/2+E33*E28/2)</f>
        <v>4.1609999999999998E-3</v>
      </c>
      <c r="J49" s="103" t="s">
        <v>45</v>
      </c>
      <c r="K49" s="108">
        <f>(1-K23*K25)*(K30*K27/2+K33*K28/2)</f>
        <v>8.1139500000000035E-3</v>
      </c>
      <c r="P49" s="103" t="s">
        <v>45</v>
      </c>
      <c r="Q49" s="108">
        <f>(1-Q23*Q25)*(Q30*Q27/2+Q33*Q28/2)</f>
        <v>7.9891200000000006E-3</v>
      </c>
    </row>
    <row r="50" spans="1:17" s="103" customFormat="1" ht="15" hidden="1">
      <c r="A50" s="102"/>
      <c r="D50" s="103" t="s">
        <v>46</v>
      </c>
      <c r="E50" s="108">
        <f>(1-E23*E25)*(E31*E27/2+E34*E28/2)</f>
        <v>1.6643999999999997E-3</v>
      </c>
      <c r="J50" s="103" t="s">
        <v>46</v>
      </c>
      <c r="K50" s="108">
        <f>(1-K23*K25)*(K31*K27/2+K34*K28/2)</f>
        <v>3.2455800000000009E-3</v>
      </c>
      <c r="P50" s="103" t="s">
        <v>46</v>
      </c>
      <c r="Q50" s="108">
        <f>(1-Q23*Q25)*(Q31*Q27/2+Q34*Q28/2)</f>
        <v>7.9891200000000006E-3</v>
      </c>
    </row>
    <row r="51" spans="1:17" s="103" customFormat="1" ht="15" hidden="1">
      <c r="A51" s="102"/>
      <c r="D51" s="103" t="s">
        <v>47</v>
      </c>
      <c r="E51" s="108">
        <f>(1-E23*E25)*((E48*E30+E49*E29)*E27/3+(E48*E33+E49*E32)*E28/3)</f>
        <v>4.6170455999999987E-5</v>
      </c>
      <c r="J51" s="103" t="s">
        <v>47</v>
      </c>
      <c r="K51" s="108">
        <f>(1-K23*K25)*((K48*K30+K49*K29)*K27/3+(K48*K33+K49*K32)*K28/3)</f>
        <v>1.7556315894000013E-4</v>
      </c>
      <c r="P51" s="103" t="s">
        <v>47</v>
      </c>
      <c r="Q51" s="108">
        <f>(1-Q23*Q25)*((Q48*Q30+Q49*Q29)*Q27/3+(Q48*Q33+Q49*Q32)*Q28/3)</f>
        <v>8.51013844992E-5</v>
      </c>
    </row>
    <row r="52" spans="1:17" s="103" customFormat="1" ht="15" hidden="1">
      <c r="A52" s="102"/>
      <c r="D52" s="103" t="s">
        <v>48</v>
      </c>
      <c r="E52" s="108">
        <f>(1-E23*E25)*((E49*E31+E50*E30)*E27/3+(E49*E34+E50*E33)*E28/3)</f>
        <v>9.2340911999999988E-6</v>
      </c>
      <c r="J52" s="103" t="s">
        <v>48</v>
      </c>
      <c r="K52" s="108">
        <f>(1-K23*K25)*((K49*K31+K50*K30)*K27/3+(K49*K34+K50*K33)*K28/3)</f>
        <v>3.5112631788000021E-5</v>
      </c>
      <c r="P52" s="103" t="s">
        <v>48</v>
      </c>
      <c r="Q52" s="108">
        <f>(1-Q23*Q25)*((Q49*Q31+Q50*Q30)*Q27/3+(Q49*Q34+Q50*Q33)*Q28/3)</f>
        <v>8.51013844992E-5</v>
      </c>
    </row>
    <row r="53" spans="1:17" s="103" customFormat="1" ht="15" hidden="1">
      <c r="A53" s="102"/>
      <c r="D53" s="103" t="s">
        <v>49</v>
      </c>
      <c r="E53" s="108">
        <f>(1-E23*E25)*((E48*E31+E50*E29)*E27/3+(E48*E34+E50*E32)*E28/3)</f>
        <v>1.8468182399999998E-5</v>
      </c>
      <c r="J53" s="103" t="s">
        <v>49</v>
      </c>
      <c r="K53" s="108">
        <f>(1-K23*K25)*((K48*K31+K50*K29)*K27/3+(K48*K34+K50*K32)*K28/3)</f>
        <v>7.0225263576000042E-5</v>
      </c>
      <c r="P53" s="103" t="s">
        <v>49</v>
      </c>
      <c r="Q53" s="108">
        <f>(1-Q23*Q25)*((Q48*Q31+Q50*Q29)*Q27/3+(Q48*Q34+Q50*Q32)*Q28/3)</f>
        <v>8.51013844992E-5</v>
      </c>
    </row>
    <row r="54" spans="1:17" s="103" customFormat="1" hidden="1">
      <c r="A54" s="102"/>
      <c r="D54" s="103" t="s">
        <v>5</v>
      </c>
      <c r="E54" s="108">
        <f>(1-E23*E25)*((E52*E29+E53*E30+E51*E31)*E27/4+(E52*E32+E53*E33+E51*E34)*E28/4)+E23*E25*(E39*E27/2+E40*E28/2)</f>
        <v>8.7715269160449608E-5</v>
      </c>
      <c r="J54" s="103" t="s">
        <v>5</v>
      </c>
      <c r="K54" s="108">
        <f>(1-K23*K25)*((K52*K29+K53*K30+K51*K31)*K27/4+(K52*K32+K53*K33+K51*K34)*K28/4)+K23*K25*(K39*K27/2+K40*K28/2)</f>
        <v>1.7167470641608882E-4</v>
      </c>
      <c r="P54" s="103" t="s">
        <v>5</v>
      </c>
      <c r="Q54" s="108">
        <f>(1-Q23*Q25)*((Q52*Q29+Q53*Q30+Q51*Q31)*Q27/4+(Q52*Q32+Q53*Q33+Q51*Q34)*Q28/4)+Q23*Q25*(Q39*Q27/2+Q40*Q28/2)</f>
        <v>4.2149982775939546E-4</v>
      </c>
    </row>
    <row r="55" spans="1:17" s="103" customFormat="1" hidden="1">
      <c r="A55" s="102"/>
    </row>
    <row r="56" spans="1:17" s="103" customFormat="1" ht="15" hidden="1">
      <c r="A56" s="102"/>
      <c r="C56" s="103" t="s">
        <v>2</v>
      </c>
      <c r="D56" s="103" t="s">
        <v>47</v>
      </c>
      <c r="E56" s="108">
        <f>(1-E23*E26)*((E29*E27/2+E32*E28/2)+(E30*E27/2+E33*E28/2))</f>
        <v>1.1169E-2</v>
      </c>
      <c r="I56" s="103" t="s">
        <v>2</v>
      </c>
      <c r="J56" s="103" t="s">
        <v>47</v>
      </c>
      <c r="K56" s="108">
        <f>(1-K23*K26)*((K29*K27/2+K32*K28/2)+(K30*K27/2+K33*K28/2))</f>
        <v>2.1779550000000009E-2</v>
      </c>
      <c r="O56" s="103" t="s">
        <v>2</v>
      </c>
      <c r="P56" s="103" t="s">
        <v>47</v>
      </c>
      <c r="Q56" s="108">
        <f>(1-Q23*Q26)*((Q29*Q27/2+Q32*Q28/2)+(Q30*Q27/2+Q33*Q28/2))</f>
        <v>1.4296320000000001E-2</v>
      </c>
    </row>
    <row r="57" spans="1:17" s="103" customFormat="1" ht="15" hidden="1">
      <c r="A57" s="102"/>
      <c r="D57" s="103" t="s">
        <v>48</v>
      </c>
      <c r="E57" s="108">
        <f>(1-E23*E26)*((E30*E27/2+E33*E28/2)+(E31*E27/2+E34*E28/2))</f>
        <v>5.2122000000000002E-3</v>
      </c>
      <c r="J57" s="103" t="s">
        <v>48</v>
      </c>
      <c r="K57" s="108">
        <f>(1-K23*K26)*((K30*K27/2+K33*K28/2)+(K31*K27/2+K34*K28/2))</f>
        <v>1.0163790000000004E-2</v>
      </c>
      <c r="P57" s="103" t="s">
        <v>48</v>
      </c>
      <c r="Q57" s="108">
        <f>(1-Q23*Q26)*((Q30*Q27/2+Q33*Q28/2)+(Q31*Q27/2+Q34*Q28/2))</f>
        <v>1.4296320000000001E-2</v>
      </c>
    </row>
    <row r="58" spans="1:17" s="103" customFormat="1" ht="15" hidden="1">
      <c r="A58" s="102"/>
      <c r="D58" s="103" t="s">
        <v>49</v>
      </c>
      <c r="E58" s="108">
        <f>(1-E23*E26)*((E29*E27/2+E32*E28/2)+(E31*E27/2+E34*E28/2))</f>
        <v>8.9352000000000008E-3</v>
      </c>
      <c r="J58" s="103" t="s">
        <v>49</v>
      </c>
      <c r="K58" s="108">
        <f>(1-K23*K26)*((K29*K27/2+K32*K28/2)+(K31*K27/2+K34*K28/2))</f>
        <v>1.7423640000000004E-2</v>
      </c>
      <c r="P58" s="103" t="s">
        <v>49</v>
      </c>
      <c r="Q58" s="108">
        <f>(1-Q23*Q26)*((Q29*Q27/2+Q32*Q28/2)+(Q31*Q27/2+Q34*Q28/2))</f>
        <v>1.4296320000000001E-2</v>
      </c>
    </row>
    <row r="59" spans="1:17" s="103" customFormat="1" hidden="1">
      <c r="A59" s="102"/>
      <c r="D59" s="103" t="s">
        <v>5</v>
      </c>
      <c r="E59" s="108">
        <f>(1-E23*E26)*((E57*E29+E58*E30+E56*E31)*E27/3+(E57*E32+E58*E33+E56*E34)*E28/3)+E23*E26*(E39*E27/2+E40*E28/2)</f>
        <v>3.2193911040000005E-4</v>
      </c>
      <c r="J59" s="103" t="s">
        <v>5</v>
      </c>
      <c r="K59" s="108">
        <f>(1-K23*K26)*((K57*K29+K58*K30+K56*K31)*K27/3+(K57*K32+K58*K33+K56*K34)*K28/3)+K23*K26*(K39*K27/2+K40*K28/2)</f>
        <v>7.373364672960004E-4</v>
      </c>
      <c r="P59" s="103" t="s">
        <v>5</v>
      </c>
      <c r="Q59" s="108">
        <f>(1-Q23*Q26)*((Q57*Q29+Q58*Q30+Q56*Q31)*Q27/3+(Q57*Q32+Q58*Q33+Q56*Q34)*Q28/3)+Q23*Q26*(Q39*Q27/2+Q40*Q28/2)</f>
        <v>1.4658247655424004E-3</v>
      </c>
    </row>
    <row r="60" spans="1:17" s="101" customFormat="1">
      <c r="A60" s="100"/>
    </row>
  </sheetData>
  <sheetProtection algorithmName="SHA-512" hashValue="KcD7agn9kOi+oPcyQQKXqjvW1gK+2iOPaAQl0Xw5xSbAQJi4thYupNfefTbm6EWQEYn0byrcfNkrHmb2RtHBSg==" saltValue="EniFd0vBs4TeLoNSjvYOVg==" spinCount="100000" sheet="1" objects="1" scenarios="1"/>
  <mergeCells count="41">
    <mergeCell ref="B18:C18"/>
    <mergeCell ref="B19:C19"/>
    <mergeCell ref="B15:E15"/>
    <mergeCell ref="B12:C12"/>
    <mergeCell ref="H12:I12"/>
    <mergeCell ref="N12:O12"/>
    <mergeCell ref="B16:C16"/>
    <mergeCell ref="B17:C17"/>
    <mergeCell ref="D16:E16"/>
    <mergeCell ref="B9:C9"/>
    <mergeCell ref="H9:I9"/>
    <mergeCell ref="N9:O9"/>
    <mergeCell ref="B10:C10"/>
    <mergeCell ref="H10:I10"/>
    <mergeCell ref="N10:O10"/>
    <mergeCell ref="B11:C11"/>
    <mergeCell ref="H11:I11"/>
    <mergeCell ref="N11:O11"/>
    <mergeCell ref="N7:O7"/>
    <mergeCell ref="B8:C8"/>
    <mergeCell ref="H8:I8"/>
    <mergeCell ref="N8:O8"/>
    <mergeCell ref="B6:C6"/>
    <mergeCell ref="H6:I6"/>
    <mergeCell ref="N6:O6"/>
    <mergeCell ref="T1:W1"/>
    <mergeCell ref="B3:F3"/>
    <mergeCell ref="G3:G12"/>
    <mergeCell ref="H3:L3"/>
    <mergeCell ref="M3:M12"/>
    <mergeCell ref="N3:R3"/>
    <mergeCell ref="S3:S12"/>
    <mergeCell ref="T3:W3"/>
    <mergeCell ref="B4:C4"/>
    <mergeCell ref="H4:I4"/>
    <mergeCell ref="N4:O4"/>
    <mergeCell ref="B5:C5"/>
    <mergeCell ref="H5:I5"/>
    <mergeCell ref="N5:O5"/>
    <mergeCell ref="B7:C7"/>
    <mergeCell ref="H7:I7"/>
  </mergeCells>
  <conditionalFormatting sqref="B6:F8">
    <cfRule type="expression" dxfId="11" priority="2">
      <formula>$E$4="1oo1"</formula>
    </cfRule>
  </conditionalFormatting>
  <conditionalFormatting sqref="B7:F7">
    <cfRule type="expression" dxfId="10" priority="4">
      <formula>$E$4="1oo2"</formula>
    </cfRule>
  </conditionalFormatting>
  <conditionalFormatting sqref="H6:L8">
    <cfRule type="expression" dxfId="9" priority="6">
      <formula>$K$4="1oo1"</formula>
    </cfRule>
  </conditionalFormatting>
  <conditionalFormatting sqref="H7:L7">
    <cfRule type="expression" dxfId="8" priority="8">
      <formula>$K$4="1oo2"</formula>
    </cfRule>
  </conditionalFormatting>
  <conditionalFormatting sqref="N6:R8">
    <cfRule type="expression" dxfId="7" priority="10">
      <formula>$Q$4="1oo1"</formula>
    </cfRule>
  </conditionalFormatting>
  <conditionalFormatting sqref="N7:R7">
    <cfRule type="expression" dxfId="6" priority="12">
      <formula>$Q$4="1oo2"</formula>
    </cfRule>
  </conditionalFormatting>
  <conditionalFormatting sqref="K6:K8">
    <cfRule type="expression" dxfId="5" priority="5">
      <formula>$K$4="1oo1"</formula>
    </cfRule>
  </conditionalFormatting>
  <conditionalFormatting sqref="K7">
    <cfRule type="expression" dxfId="4" priority="7">
      <formula>$K$4="1oo2"</formula>
    </cfRule>
  </conditionalFormatting>
  <conditionalFormatting sqref="E6:E8">
    <cfRule type="expression" dxfId="3" priority="1">
      <formula>$E$4="1oo1"</formula>
    </cfRule>
  </conditionalFormatting>
  <conditionalFormatting sqref="E7">
    <cfRule type="expression" dxfId="2" priority="3">
      <formula>$E$4="1oo2"</formula>
    </cfRule>
  </conditionalFormatting>
  <conditionalFormatting sqref="Q6:Q8">
    <cfRule type="expression" dxfId="1" priority="9">
      <formula>$Q$4="1oo1"</formula>
    </cfRule>
  </conditionalFormatting>
  <conditionalFormatting sqref="Q7">
    <cfRule type="expression" dxfId="0" priority="11">
      <formula>$Q$4="1oo2"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&amp;L&amp;D&amp;CPFD CONSILTATOR - &amp;A&amp;RConsiltant - Version 2.0</oddFooter>
  </headerFooter>
  <ignoredErrors>
    <ignoredError sqref="T4:T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72E906-5C91-4BFD-A4AA-C80D4A2AD35A}">
          <x14:formula1>
            <xm:f>Lists!$C$5:$C$8</xm:f>
          </x14:formula1>
          <xm:sqref>L9 R9 F9</xm:sqref>
        </x14:dataValidation>
        <x14:dataValidation type="list" allowBlank="1" showInputMessage="1" showErrorMessage="1" xr:uid="{9670E187-C9D1-4D2E-8C47-4C702B7E477A}">
          <x14:formula1>
            <xm:f>Lists!$B$5:$B$8</xm:f>
          </x14:formula1>
          <xm:sqref>E4 Q4 K4</xm:sqref>
        </x14:dataValidation>
        <x14:dataValidation type="list" allowBlank="1" showInputMessage="1" showErrorMessage="1" xr:uid="{47318BFB-351D-4EC8-8774-2B6CA87F092C}">
          <x14:formula1>
            <xm:f>Lists!$D$5:$D$9</xm:f>
          </x14:formula1>
          <xm:sqref>P15 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E902-0F24-441E-A9E6-15A2C4186B79}">
  <sheetPr>
    <pageSetUpPr fitToPage="1"/>
  </sheetPr>
  <dimension ref="A1:W14"/>
  <sheetViews>
    <sheetView showGridLines="0" zoomScaleNormal="100" workbookViewId="0">
      <selection activeCell="E27" sqref="E27"/>
    </sheetView>
  </sheetViews>
  <sheetFormatPr defaultColWidth="9.109375" defaultRowHeight="14.4"/>
  <cols>
    <col min="1" max="1" width="2.109375" style="3" customWidth="1"/>
    <col min="2" max="2" width="17.88671875" style="45" bestFit="1" customWidth="1"/>
    <col min="3" max="3" width="15.6640625" style="45" customWidth="1"/>
    <col min="4" max="4" width="6.5546875" style="45" bestFit="1" customWidth="1"/>
    <col min="5" max="5" width="9.33203125" style="45" customWidth="1"/>
    <col min="6" max="6" width="7.6640625" style="45" bestFit="1" customWidth="1"/>
    <col min="7" max="7" width="3.88671875" style="45" bestFit="1" customWidth="1"/>
    <col min="8" max="8" width="17.88671875" style="45" customWidth="1"/>
    <col min="9" max="9" width="15.6640625" style="45" customWidth="1"/>
    <col min="10" max="10" width="6.5546875" style="45" bestFit="1" customWidth="1"/>
    <col min="11" max="11" width="9.33203125" style="45" customWidth="1"/>
    <col min="12" max="12" width="7.6640625" style="45" bestFit="1" customWidth="1"/>
    <col min="13" max="13" width="3.88671875" style="45" bestFit="1" customWidth="1"/>
    <col min="14" max="14" width="18" style="45" customWidth="1"/>
    <col min="15" max="15" width="15.6640625" style="45" customWidth="1"/>
    <col min="16" max="16" width="6.5546875" style="45" bestFit="1" customWidth="1"/>
    <col min="17" max="17" width="9.33203125" style="45" customWidth="1"/>
    <col min="18" max="18" width="7.6640625" style="45" customWidth="1"/>
    <col min="19" max="19" width="3.88671875" style="45" bestFit="1" customWidth="1"/>
    <col min="20" max="20" width="29.44140625" style="45" customWidth="1"/>
    <col min="21" max="21" width="8.5546875" style="45" customWidth="1"/>
    <col min="22" max="22" width="4" style="45" bestFit="1" customWidth="1"/>
    <col min="23" max="23" width="5.6640625" style="45" customWidth="1"/>
    <col min="24" max="16384" width="9.109375" style="45"/>
  </cols>
  <sheetData>
    <row r="1" spans="2:23" s="4" customFormat="1" ht="67.5" customHeight="1">
      <c r="B1" s="5"/>
      <c r="C1" s="35" t="s">
        <v>93</v>
      </c>
      <c r="D1" s="35"/>
      <c r="E1" s="35"/>
      <c r="F1" s="35"/>
      <c r="G1" s="35"/>
      <c r="H1" s="1"/>
      <c r="I1" s="1"/>
      <c r="J1" s="1"/>
      <c r="K1" s="2"/>
      <c r="L1" s="2"/>
      <c r="M1" s="3"/>
      <c r="T1" s="122" t="s">
        <v>86</v>
      </c>
      <c r="U1" s="123"/>
      <c r="V1" s="123"/>
      <c r="W1" s="123"/>
    </row>
    <row r="2" spans="2:23" s="3" customFormat="1"/>
    <row r="3" spans="2:23" s="3" customFormat="1" ht="18" customHeight="1">
      <c r="B3" s="136" t="s">
        <v>79</v>
      </c>
      <c r="C3" s="137"/>
      <c r="D3" s="137"/>
      <c r="E3" s="137"/>
      <c r="F3" s="138"/>
      <c r="G3" s="139" t="s">
        <v>11</v>
      </c>
      <c r="H3" s="136" t="s">
        <v>78</v>
      </c>
      <c r="I3" s="137"/>
      <c r="J3" s="137"/>
      <c r="K3" s="137"/>
      <c r="L3" s="138"/>
      <c r="M3" s="139" t="s">
        <v>11</v>
      </c>
      <c r="N3" s="136" t="s">
        <v>77</v>
      </c>
      <c r="O3" s="137"/>
      <c r="P3" s="137"/>
      <c r="Q3" s="137"/>
      <c r="R3" s="138"/>
      <c r="S3" s="139" t="s">
        <v>12</v>
      </c>
      <c r="T3" s="136" t="s">
        <v>9</v>
      </c>
      <c r="U3" s="137"/>
      <c r="V3" s="137"/>
      <c r="W3" s="138"/>
    </row>
    <row r="4" spans="2:23" s="3" customFormat="1" ht="18" customHeight="1">
      <c r="B4" s="131" t="s">
        <v>68</v>
      </c>
      <c r="C4" s="132"/>
      <c r="D4" s="6"/>
      <c r="E4" s="16" t="s">
        <v>1</v>
      </c>
      <c r="F4" s="7"/>
      <c r="G4" s="140"/>
      <c r="H4" s="131" t="s">
        <v>68</v>
      </c>
      <c r="I4" s="132"/>
      <c r="J4" s="6"/>
      <c r="K4" s="16" t="s">
        <v>0</v>
      </c>
      <c r="L4" s="7"/>
      <c r="M4" s="140"/>
      <c r="N4" s="131" t="s">
        <v>68</v>
      </c>
      <c r="O4" s="132"/>
      <c r="P4" s="6"/>
      <c r="Q4" s="16" t="s">
        <v>2</v>
      </c>
      <c r="R4" s="7"/>
      <c r="S4" s="140"/>
      <c r="T4" s="43" t="s">
        <v>79</v>
      </c>
      <c r="U4" s="21">
        <v>4.7943830400000003E-4</v>
      </c>
      <c r="V4" s="13"/>
      <c r="W4" s="7"/>
    </row>
    <row r="5" spans="2:23" s="3" customFormat="1" ht="18" customHeight="1">
      <c r="B5" s="131" t="s">
        <v>69</v>
      </c>
      <c r="C5" s="132"/>
      <c r="D5" s="92" t="s">
        <v>87</v>
      </c>
      <c r="E5" s="17">
        <v>1.9999999999999999E-6</v>
      </c>
      <c r="F5" s="8" t="s">
        <v>6</v>
      </c>
      <c r="G5" s="140"/>
      <c r="H5" s="131" t="s">
        <v>69</v>
      </c>
      <c r="I5" s="132"/>
      <c r="J5" s="92" t="s">
        <v>87</v>
      </c>
      <c r="K5" s="17">
        <v>1.9999999999999999E-6</v>
      </c>
      <c r="L5" s="8" t="s">
        <v>6</v>
      </c>
      <c r="M5" s="140"/>
      <c r="N5" s="131" t="s">
        <v>69</v>
      </c>
      <c r="O5" s="132"/>
      <c r="P5" s="92" t="s">
        <v>87</v>
      </c>
      <c r="Q5" s="17">
        <v>3.9999999999999998E-7</v>
      </c>
      <c r="R5" s="8" t="s">
        <v>6</v>
      </c>
      <c r="S5" s="140"/>
      <c r="T5" s="43" t="s">
        <v>78</v>
      </c>
      <c r="U5" s="21">
        <v>1.7082000000000007E-2</v>
      </c>
      <c r="V5" s="13"/>
      <c r="W5" s="7"/>
    </row>
    <row r="6" spans="2:23" s="3" customFormat="1" ht="18" customHeight="1">
      <c r="B6" s="131" t="s">
        <v>70</v>
      </c>
      <c r="C6" s="132"/>
      <c r="D6" s="92" t="s">
        <v>88</v>
      </c>
      <c r="E6" s="17">
        <v>9.9999999999999995E-7</v>
      </c>
      <c r="F6" s="8" t="s">
        <v>6</v>
      </c>
      <c r="G6" s="140"/>
      <c r="H6" s="145" t="s">
        <v>70</v>
      </c>
      <c r="I6" s="146"/>
      <c r="J6" s="95" t="s">
        <v>96</v>
      </c>
      <c r="K6" s="97">
        <v>9.9999999999999995E-7</v>
      </c>
      <c r="L6" s="96" t="s">
        <v>6</v>
      </c>
      <c r="M6" s="140"/>
      <c r="N6" s="131" t="s">
        <v>70</v>
      </c>
      <c r="O6" s="132"/>
      <c r="P6" s="92" t="s">
        <v>88</v>
      </c>
      <c r="Q6" s="17">
        <v>9.9999999999999995E-7</v>
      </c>
      <c r="R6" s="8" t="s">
        <v>6</v>
      </c>
      <c r="S6" s="140"/>
      <c r="T6" s="43" t="s">
        <v>77</v>
      </c>
      <c r="U6" s="22">
        <v>2.6240051036160003E-3</v>
      </c>
      <c r="V6" s="14" t="s">
        <v>11</v>
      </c>
      <c r="W6" s="7"/>
    </row>
    <row r="7" spans="2:23" s="3" customFormat="1" ht="18" customHeight="1">
      <c r="B7" s="145" t="s">
        <v>71</v>
      </c>
      <c r="C7" s="146"/>
      <c r="D7" s="95" t="s">
        <v>95</v>
      </c>
      <c r="E7" s="97">
        <v>3.9999999999999998E-7</v>
      </c>
      <c r="F7" s="96" t="s">
        <v>6</v>
      </c>
      <c r="G7" s="140"/>
      <c r="H7" s="145" t="s">
        <v>71</v>
      </c>
      <c r="I7" s="146"/>
      <c r="J7" s="95" t="s">
        <v>95</v>
      </c>
      <c r="K7" s="97">
        <v>3.9999999999999998E-7</v>
      </c>
      <c r="L7" s="96" t="s">
        <v>6</v>
      </c>
      <c r="M7" s="140"/>
      <c r="N7" s="131" t="s">
        <v>71</v>
      </c>
      <c r="O7" s="132"/>
      <c r="P7" s="92" t="s">
        <v>89</v>
      </c>
      <c r="Q7" s="17">
        <v>1.9999999999999999E-6</v>
      </c>
      <c r="R7" s="8" t="s">
        <v>6</v>
      </c>
      <c r="S7" s="140"/>
      <c r="T7" s="43" t="s">
        <v>90</v>
      </c>
      <c r="U7" s="23">
        <v>2.0185443407616008E-2</v>
      </c>
      <c r="V7" s="28" t="s">
        <v>10</v>
      </c>
      <c r="W7" s="24" t="s">
        <v>94</v>
      </c>
    </row>
    <row r="8" spans="2:23" s="3" customFormat="1" ht="18" customHeight="1">
      <c r="B8" s="131" t="s">
        <v>72</v>
      </c>
      <c r="C8" s="132"/>
      <c r="D8" s="93" t="s">
        <v>3</v>
      </c>
      <c r="E8" s="18">
        <v>10</v>
      </c>
      <c r="F8" s="7" t="s">
        <v>7</v>
      </c>
      <c r="G8" s="140"/>
      <c r="H8" s="145" t="s">
        <v>72</v>
      </c>
      <c r="I8" s="146"/>
      <c r="J8" s="44" t="s">
        <v>3</v>
      </c>
      <c r="K8" s="99">
        <v>10</v>
      </c>
      <c r="L8" s="98" t="s">
        <v>7</v>
      </c>
      <c r="M8" s="140"/>
      <c r="N8" s="131" t="s">
        <v>72</v>
      </c>
      <c r="O8" s="132"/>
      <c r="P8" s="93" t="s">
        <v>3</v>
      </c>
      <c r="Q8" s="18">
        <v>10</v>
      </c>
      <c r="R8" s="7" t="s">
        <v>7</v>
      </c>
      <c r="S8" s="140"/>
      <c r="T8" s="147"/>
      <c r="U8" s="148"/>
      <c r="V8" s="148"/>
      <c r="W8" s="149"/>
    </row>
    <row r="9" spans="2:23" s="3" customFormat="1" ht="18" customHeight="1">
      <c r="B9" s="131" t="s">
        <v>73</v>
      </c>
      <c r="C9" s="132"/>
      <c r="D9" s="93" t="s">
        <v>4</v>
      </c>
      <c r="E9" s="19">
        <v>1</v>
      </c>
      <c r="F9" s="25" t="s">
        <v>16</v>
      </c>
      <c r="G9" s="140"/>
      <c r="H9" s="131" t="s">
        <v>73</v>
      </c>
      <c r="I9" s="132"/>
      <c r="J9" s="93" t="s">
        <v>4</v>
      </c>
      <c r="K9" s="19">
        <v>12</v>
      </c>
      <c r="L9" s="25" t="s">
        <v>17</v>
      </c>
      <c r="M9" s="140"/>
      <c r="N9" s="131" t="s">
        <v>73</v>
      </c>
      <c r="O9" s="132"/>
      <c r="P9" s="93" t="s">
        <v>4</v>
      </c>
      <c r="Q9" s="19">
        <v>4</v>
      </c>
      <c r="R9" s="25" t="s">
        <v>16</v>
      </c>
      <c r="S9" s="140"/>
      <c r="T9" s="147"/>
      <c r="U9" s="148"/>
      <c r="V9" s="148"/>
      <c r="W9" s="149"/>
    </row>
    <row r="10" spans="2:23" s="3" customFormat="1" ht="18" customHeight="1">
      <c r="B10" s="131" t="s">
        <v>74</v>
      </c>
      <c r="C10" s="132"/>
      <c r="D10" s="93" t="s">
        <v>28</v>
      </c>
      <c r="E10" s="18">
        <v>100</v>
      </c>
      <c r="F10" s="7" t="s">
        <v>7</v>
      </c>
      <c r="G10" s="140"/>
      <c r="H10" s="131" t="s">
        <v>74</v>
      </c>
      <c r="I10" s="132"/>
      <c r="J10" s="93" t="s">
        <v>28</v>
      </c>
      <c r="K10" s="18">
        <v>95</v>
      </c>
      <c r="L10" s="7" t="s">
        <v>7</v>
      </c>
      <c r="M10" s="140"/>
      <c r="N10" s="131" t="s">
        <v>74</v>
      </c>
      <c r="O10" s="132"/>
      <c r="P10" s="93" t="s">
        <v>28</v>
      </c>
      <c r="Q10" s="18">
        <v>95</v>
      </c>
      <c r="R10" s="7" t="s">
        <v>7</v>
      </c>
      <c r="S10" s="140"/>
      <c r="T10" s="147"/>
      <c r="U10" s="148"/>
      <c r="V10" s="148"/>
      <c r="W10" s="149"/>
    </row>
    <row r="11" spans="2:23" s="3" customFormat="1" ht="18" customHeight="1">
      <c r="B11" s="131" t="s">
        <v>75</v>
      </c>
      <c r="C11" s="132"/>
      <c r="D11" s="93" t="s">
        <v>29</v>
      </c>
      <c r="E11" s="19">
        <v>20</v>
      </c>
      <c r="F11" s="7" t="s">
        <v>16</v>
      </c>
      <c r="G11" s="140"/>
      <c r="H11" s="131" t="s">
        <v>75</v>
      </c>
      <c r="I11" s="132"/>
      <c r="J11" s="93" t="s">
        <v>29</v>
      </c>
      <c r="K11" s="19">
        <v>20</v>
      </c>
      <c r="L11" s="7" t="s">
        <v>16</v>
      </c>
      <c r="M11" s="140"/>
      <c r="N11" s="131" t="s">
        <v>75</v>
      </c>
      <c r="O11" s="132"/>
      <c r="P11" s="93" t="s">
        <v>29</v>
      </c>
      <c r="Q11" s="19">
        <v>20</v>
      </c>
      <c r="R11" s="7" t="s">
        <v>16</v>
      </c>
      <c r="S11" s="140"/>
      <c r="T11" s="147"/>
      <c r="U11" s="148"/>
      <c r="V11" s="148"/>
      <c r="W11" s="149"/>
    </row>
    <row r="12" spans="2:23" s="3" customFormat="1" ht="18" customHeight="1">
      <c r="B12" s="141" t="s">
        <v>76</v>
      </c>
      <c r="C12" s="142"/>
      <c r="D12" s="94" t="s">
        <v>91</v>
      </c>
      <c r="E12" s="20">
        <v>4.7943830400000003E-4</v>
      </c>
      <c r="F12" s="9"/>
      <c r="G12" s="140"/>
      <c r="H12" s="141" t="s">
        <v>76</v>
      </c>
      <c r="I12" s="142"/>
      <c r="J12" s="94" t="s">
        <v>91</v>
      </c>
      <c r="K12" s="20">
        <v>1.7082000000000007E-2</v>
      </c>
      <c r="L12" s="9"/>
      <c r="M12" s="140"/>
      <c r="N12" s="141" t="s">
        <v>76</v>
      </c>
      <c r="O12" s="142"/>
      <c r="P12" s="94" t="s">
        <v>91</v>
      </c>
      <c r="Q12" s="20">
        <v>2.6240051036160003E-3</v>
      </c>
      <c r="R12" s="9"/>
      <c r="S12" s="140"/>
      <c r="T12" s="150"/>
      <c r="U12" s="151"/>
      <c r="V12" s="151"/>
      <c r="W12" s="152"/>
    </row>
    <row r="13" spans="2:23" s="3" customFormat="1"/>
    <row r="14" spans="2:23" s="3" customFormat="1"/>
  </sheetData>
  <sheetProtection algorithmName="SHA-512" hashValue="XZUT2KqzlN83hnjD6p8p9MSFl5yebXeOG131LCydwgaqWETZ9Wl/Lkqa3cxVtqBd58okps6LH5TZXLYj/OBojg==" saltValue="8iSEine0b5ziZCkYl7vUfg==" spinCount="100000" sheet="1" objects="1" scenarios="1" selectLockedCells="1" selectUnlockedCells="1"/>
  <mergeCells count="36">
    <mergeCell ref="B12:C12"/>
    <mergeCell ref="H12:I12"/>
    <mergeCell ref="N12:O12"/>
    <mergeCell ref="T8:W12"/>
    <mergeCell ref="B9:C9"/>
    <mergeCell ref="H9:I9"/>
    <mergeCell ref="N9:O9"/>
    <mergeCell ref="B10:C10"/>
    <mergeCell ref="H10:I10"/>
    <mergeCell ref="N10:O10"/>
    <mergeCell ref="B11:C11"/>
    <mergeCell ref="H11:I11"/>
    <mergeCell ref="N11:O11"/>
    <mergeCell ref="N6:O6"/>
    <mergeCell ref="B7:C7"/>
    <mergeCell ref="H7:I7"/>
    <mergeCell ref="N7:O7"/>
    <mergeCell ref="B8:C8"/>
    <mergeCell ref="H8:I8"/>
    <mergeCell ref="N8:O8"/>
    <mergeCell ref="T1:W1"/>
    <mergeCell ref="B3:F3"/>
    <mergeCell ref="G3:G12"/>
    <mergeCell ref="H3:L3"/>
    <mergeCell ref="M3:M12"/>
    <mergeCell ref="N3:R3"/>
    <mergeCell ref="S3:S12"/>
    <mergeCell ref="T3:W3"/>
    <mergeCell ref="B4:C4"/>
    <mergeCell ref="H4:I4"/>
    <mergeCell ref="N4:O4"/>
    <mergeCell ref="B5:C5"/>
    <mergeCell ref="H5:I5"/>
    <mergeCell ref="N5:O5"/>
    <mergeCell ref="B6:C6"/>
    <mergeCell ref="H6:I6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&amp;L&amp;D&amp;CPFD CONSILTATOR - &amp;A&amp;RConsiltant - Version 2.0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39C6-3523-4067-9786-FE003242BBA5}">
  <sheetPr codeName="Sheet3">
    <pageSetUpPr fitToPage="1"/>
  </sheetPr>
  <dimension ref="B1:O30"/>
  <sheetViews>
    <sheetView showGridLines="0" zoomScaleNormal="100" workbookViewId="0">
      <selection activeCell="E27" sqref="E27"/>
    </sheetView>
  </sheetViews>
  <sheetFormatPr defaultColWidth="9.109375" defaultRowHeight="14.4"/>
  <cols>
    <col min="1" max="1" width="2.109375" style="3" customWidth="1"/>
    <col min="2" max="2" width="17.88671875" style="3" bestFit="1" customWidth="1"/>
    <col min="3" max="3" width="15.6640625" style="3" customWidth="1"/>
    <col min="4" max="4" width="5" style="3" bestFit="1" customWidth="1"/>
    <col min="5" max="5" width="10.109375" style="3" customWidth="1"/>
    <col min="6" max="6" width="4.33203125" style="3" bestFit="1" customWidth="1"/>
    <col min="7" max="13" width="9.109375" style="3" customWidth="1"/>
    <col min="14" max="14" width="2.109375" style="3" customWidth="1"/>
    <col min="15" max="24" width="9.109375" style="3" customWidth="1"/>
    <col min="25" max="16384" width="9.109375" style="3"/>
  </cols>
  <sheetData>
    <row r="1" spans="2:15" s="4" customFormat="1" ht="67.5" customHeight="1">
      <c r="B1" s="5"/>
      <c r="C1" s="153" t="s">
        <v>13</v>
      </c>
      <c r="D1" s="153"/>
      <c r="E1" s="153"/>
      <c r="F1" s="153"/>
      <c r="G1" s="153"/>
      <c r="H1" s="1"/>
      <c r="I1" s="1"/>
      <c r="J1" s="1"/>
      <c r="K1" s="2"/>
      <c r="L1" s="2"/>
      <c r="M1" s="3"/>
    </row>
    <row r="3" spans="2:15">
      <c r="B3" s="27" t="s">
        <v>66</v>
      </c>
    </row>
    <row r="4" spans="2:15">
      <c r="B4" s="3" t="s">
        <v>84</v>
      </c>
    </row>
    <row r="6" spans="2:15" ht="30" customHeight="1">
      <c r="B6" s="15"/>
      <c r="C6" s="15"/>
      <c r="F6" s="10"/>
    </row>
    <row r="7" spans="2:15" ht="30" customHeight="1">
      <c r="B7" s="15"/>
      <c r="C7" s="15"/>
      <c r="F7" s="10"/>
    </row>
    <row r="8" spans="2:15" ht="30" customHeight="1">
      <c r="B8" s="15"/>
      <c r="C8" s="15"/>
      <c r="F8" s="10"/>
    </row>
    <row r="9" spans="2:15" ht="30" customHeight="1">
      <c r="B9" s="15"/>
      <c r="C9" s="15"/>
      <c r="F9" s="10"/>
    </row>
    <row r="10" spans="2:15">
      <c r="C10" s="11"/>
      <c r="D10" s="11"/>
    </row>
    <row r="11" spans="2:15">
      <c r="C11" s="11"/>
      <c r="D11" s="11"/>
    </row>
    <row r="12" spans="2:15">
      <c r="F12" s="10"/>
      <c r="G12" s="10"/>
      <c r="O12"/>
    </row>
    <row r="13" spans="2:15">
      <c r="H13" s="10"/>
      <c r="I13" s="10"/>
      <c r="J13" s="10"/>
    </row>
    <row r="16" spans="2:15">
      <c r="F16" s="10"/>
      <c r="I16" s="12"/>
    </row>
    <row r="19" spans="2:14">
      <c r="B19" s="27" t="s">
        <v>85</v>
      </c>
    </row>
    <row r="20" spans="2:14">
      <c r="B20" s="91" t="s">
        <v>92</v>
      </c>
    </row>
    <row r="22" spans="2:14">
      <c r="B22" s="31" t="s">
        <v>54</v>
      </c>
    </row>
    <row r="23" spans="2:14">
      <c r="B23" s="26" t="s">
        <v>55</v>
      </c>
    </row>
    <row r="24" spans="2:14">
      <c r="B24" s="26" t="s">
        <v>56</v>
      </c>
    </row>
    <row r="25" spans="2:14">
      <c r="B25" s="26" t="s">
        <v>57</v>
      </c>
    </row>
    <row r="26" spans="2:14">
      <c r="B26" s="26"/>
    </row>
    <row r="27" spans="2:14">
      <c r="B27" s="31" t="s">
        <v>14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4">
      <c r="B28" s="30" t="s">
        <v>15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30" spans="2:14">
      <c r="B30" s="29"/>
    </row>
  </sheetData>
  <sheetProtection algorithmName="SHA-512" hashValue="9f4m8cmI1YWJj9aE4wz7cqx9RNZJE0SsrZBPz555OEYr4LQ7+XrQhTI81DVv/NAZTLjj37w5KNrWuFLAxyqp8A==" saltValue="DJak4SY9oaQzgRFfmrqe/w==" spinCount="100000" sheet="1" objects="1" scenarios="1"/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Footer>&amp;L&amp;D&amp;CPFD CONSILTATOR - &amp;A&amp;RConsiltant - Version 2.0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E049-BC36-4664-9DEA-79355141BEA9}">
  <sheetPr>
    <pageSetUpPr fitToPage="1"/>
  </sheetPr>
  <dimension ref="B1:J13"/>
  <sheetViews>
    <sheetView showRowColHeaders="0" zoomScaleNormal="100" zoomScaleSheetLayoutView="100" workbookViewId="0">
      <selection activeCell="E27" sqref="E27"/>
    </sheetView>
  </sheetViews>
  <sheetFormatPr defaultColWidth="9.109375" defaultRowHeight="14.4"/>
  <cols>
    <col min="1" max="1" width="1.44140625" style="37" customWidth="1"/>
    <col min="2" max="2" width="12.88671875" style="37" customWidth="1"/>
    <col min="3" max="3" width="8.6640625" style="39" customWidth="1"/>
    <col min="4" max="4" width="45.6640625" style="40" customWidth="1"/>
    <col min="5" max="5" width="20.6640625" style="39" customWidth="1"/>
    <col min="6" max="6" width="2.88671875" style="37" customWidth="1"/>
    <col min="7" max="8" width="9.109375" style="37" customWidth="1"/>
    <col min="9" max="9" width="9.109375" style="38" customWidth="1"/>
    <col min="10" max="25" width="9.109375" style="37"/>
    <col min="26" max="26" width="9.109375" style="37" customWidth="1"/>
    <col min="27" max="16384" width="9.109375" style="37"/>
  </cols>
  <sheetData>
    <row r="1" spans="2:10" s="33" customFormat="1" ht="67.5" customHeight="1">
      <c r="C1" s="34"/>
      <c r="D1" s="35" t="s">
        <v>20</v>
      </c>
      <c r="E1" s="32"/>
      <c r="F1" s="35"/>
      <c r="G1" s="35"/>
      <c r="H1" s="35"/>
      <c r="I1" s="35"/>
      <c r="J1" s="36"/>
    </row>
    <row r="3" spans="2:10">
      <c r="B3" s="49" t="s">
        <v>21</v>
      </c>
      <c r="C3" s="49" t="s">
        <v>22</v>
      </c>
      <c r="D3" s="49" t="s">
        <v>23</v>
      </c>
      <c r="E3" s="49" t="s">
        <v>24</v>
      </c>
    </row>
    <row r="4" spans="2:10">
      <c r="B4" s="90">
        <v>43300</v>
      </c>
      <c r="C4" s="50" t="s">
        <v>25</v>
      </c>
      <c r="D4" s="50" t="s">
        <v>26</v>
      </c>
      <c r="E4" s="50" t="s">
        <v>27</v>
      </c>
    </row>
    <row r="5" spans="2:10" ht="28.8">
      <c r="B5" s="90">
        <v>44106</v>
      </c>
      <c r="C5" s="50" t="s">
        <v>53</v>
      </c>
      <c r="D5" s="50" t="s">
        <v>100</v>
      </c>
      <c r="E5" s="50" t="s">
        <v>27</v>
      </c>
    </row>
    <row r="6" spans="2:10">
      <c r="B6" s="90"/>
      <c r="C6" s="51"/>
      <c r="D6" s="51"/>
      <c r="E6" s="51"/>
    </row>
    <row r="7" spans="2:10">
      <c r="B7" s="52"/>
      <c r="C7" s="51"/>
      <c r="D7" s="51"/>
      <c r="E7" s="51"/>
    </row>
    <row r="8" spans="2:10">
      <c r="B8" s="52"/>
      <c r="C8" s="51"/>
      <c r="D8" s="51"/>
      <c r="E8" s="51"/>
    </row>
    <row r="9" spans="2:10">
      <c r="B9" s="41"/>
    </row>
    <row r="10" spans="2:10">
      <c r="B10" s="41"/>
    </row>
    <row r="11" spans="2:10">
      <c r="B11" s="41"/>
    </row>
    <row r="12" spans="2:10">
      <c r="B12" s="41"/>
    </row>
    <row r="13" spans="2:10">
      <c r="B13" s="41"/>
    </row>
  </sheetData>
  <sheetProtection algorithmName="SHA-512" hashValue="QEn5NaYysgmMtSV+QH/5iFAKgzR9pzTfyYCDdfEZ2zY0MKcZiEpQJvGegV4LBvsUxV1ch0GzGApGGwXViHM/Kw==" saltValue="3wnvzNnGhRGjM1rU5E+OAA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&amp;L&amp;D&amp;CPFD CONSILTATOR - &amp;A&amp;RConsiltant - Version 2.0</oddFooter>
    <firstHeader>&amp;Rwww.consiltant.com</firstHeader>
    <firstFooter>&amp;LSafety Requirement Specification&amp;CPage &amp;P of &amp;N&amp;R&amp;D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6752-3152-41CC-AED8-8009A2580BCA}">
  <sheetPr codeName="Sheet2"/>
  <dimension ref="A1:U10"/>
  <sheetViews>
    <sheetView workbookViewId="0">
      <selection activeCell="K27" sqref="K27"/>
    </sheetView>
  </sheetViews>
  <sheetFormatPr defaultColWidth="8.88671875" defaultRowHeight="14.4"/>
  <cols>
    <col min="1" max="1" width="1.44140625" style="69" customWidth="1"/>
    <col min="2" max="3" width="12.88671875" style="69" customWidth="1"/>
    <col min="4" max="4" width="16.88671875" style="69" bestFit="1" customWidth="1"/>
    <col min="5" max="6" width="8.88671875" style="69"/>
    <col min="7" max="20" width="8.88671875" style="82"/>
    <col min="21" max="21" width="10" style="82" bestFit="1" customWidth="1"/>
    <col min="22" max="16384" width="8.88671875" style="82"/>
  </cols>
  <sheetData>
    <row r="1" spans="1:21" s="81" customFormat="1" ht="67.5" customHeight="1">
      <c r="A1" s="33"/>
      <c r="B1" s="33"/>
      <c r="C1" s="34"/>
      <c r="D1" s="35" t="s">
        <v>83</v>
      </c>
      <c r="E1" s="42"/>
      <c r="F1" s="35"/>
      <c r="G1" s="84"/>
      <c r="H1" s="84"/>
      <c r="I1" s="84"/>
      <c r="J1" s="80"/>
    </row>
    <row r="2" spans="1:21">
      <c r="T2" s="83"/>
      <c r="U2" s="85"/>
    </row>
    <row r="3" spans="1:21">
      <c r="B3" s="75" t="s">
        <v>60</v>
      </c>
      <c r="C3" s="75"/>
      <c r="D3" s="76"/>
      <c r="E3" s="68"/>
      <c r="T3" s="46"/>
      <c r="U3" s="46"/>
    </row>
    <row r="4" spans="1:21">
      <c r="B4" s="75" t="s">
        <v>58</v>
      </c>
      <c r="C4" s="75" t="s">
        <v>59</v>
      </c>
      <c r="D4" s="75" t="s">
        <v>63</v>
      </c>
      <c r="T4" s="46"/>
      <c r="U4" s="46"/>
    </row>
    <row r="5" spans="1:21">
      <c r="B5" s="77" t="s">
        <v>0</v>
      </c>
      <c r="C5" s="76" t="s">
        <v>16</v>
      </c>
      <c r="D5" s="78" t="s">
        <v>61</v>
      </c>
      <c r="T5" s="47"/>
      <c r="U5" s="48"/>
    </row>
    <row r="6" spans="1:21">
      <c r="B6" s="79" t="s">
        <v>1</v>
      </c>
      <c r="C6" s="76" t="s">
        <v>17</v>
      </c>
      <c r="D6" s="78" t="s">
        <v>62</v>
      </c>
      <c r="T6" s="47"/>
      <c r="U6" s="48"/>
    </row>
    <row r="7" spans="1:21">
      <c r="B7" s="79" t="s">
        <v>8</v>
      </c>
      <c r="C7" s="76" t="s">
        <v>18</v>
      </c>
      <c r="D7" s="78" t="s">
        <v>30</v>
      </c>
      <c r="T7" s="47"/>
      <c r="U7" s="48"/>
    </row>
    <row r="8" spans="1:21">
      <c r="B8" s="79" t="s">
        <v>2</v>
      </c>
      <c r="C8" s="76" t="s">
        <v>19</v>
      </c>
      <c r="D8" s="78" t="s">
        <v>31</v>
      </c>
      <c r="T8" s="47"/>
      <c r="U8" s="48"/>
    </row>
    <row r="9" spans="1:21">
      <c r="B9" s="76"/>
      <c r="C9" s="76"/>
      <c r="D9" s="78" t="s">
        <v>32</v>
      </c>
      <c r="T9" s="47"/>
      <c r="U9" s="48"/>
    </row>
    <row r="10" spans="1:21">
      <c r="T10" s="47"/>
      <c r="U10" s="48"/>
    </row>
  </sheetData>
  <dataValidations count="1">
    <dataValidation type="list" allowBlank="1" showInputMessage="1" showErrorMessage="1" sqref="U2" xr:uid="{A87EEF2B-3063-4F40-B558-BC2A37F3D6C1}">
      <formula1>$B$5:$B$8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DCDF732E11C4EA0DC0CEC3C67F10D" ma:contentTypeVersion="10" ma:contentTypeDescription="Create a new document." ma:contentTypeScope="" ma:versionID="e1c400db2c661877083f000e684426c0">
  <xsd:schema xmlns:xsd="http://www.w3.org/2001/XMLSchema" xmlns:xs="http://www.w3.org/2001/XMLSchema" xmlns:p="http://schemas.microsoft.com/office/2006/metadata/properties" xmlns:ns2="7b580c96-16e8-42f5-bc64-2e9d46808cf3" targetNamespace="http://schemas.microsoft.com/office/2006/metadata/properties" ma:root="true" ma:fieldsID="e26def13387b236cc0afe79be5ed9b4c" ns2:_="">
    <xsd:import namespace="7b580c96-16e8-42f5-bc64-2e9d46808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80c96-16e8-42f5-bc64-2e9d46808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7A93F7-98B4-454E-A72E-ADC8EAED8B3E}">
  <ds:schemaRefs>
    <ds:schemaRef ds:uri="http://schemas.microsoft.com/office/2006/metadata/properties"/>
    <ds:schemaRef ds:uri="7b580c96-16e8-42f5-bc64-2e9d46808cf3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DD79F5-B2A5-4AA5-8B08-1E2F53C386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C68D0-78FB-406D-8877-9317CA586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80c96-16e8-42f5-bc64-2e9d46808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PFD calculator (simple)</vt:lpstr>
      <vt:lpstr>PFD calculator (advanced)</vt:lpstr>
      <vt:lpstr>Help</vt:lpstr>
      <vt:lpstr>References</vt:lpstr>
      <vt:lpstr>Revision</vt:lpstr>
      <vt:lpstr>Lists</vt:lpstr>
    </vt:vector>
  </TitlesOfParts>
  <Manager>jansen@consiltant.com</Manager>
  <Company>Consiltant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PFD Consiltator</dc:title>
  <dc:subject>PFD Calculator</dc:subject>
  <dc:creator>jeroen@consiltant.com</dc:creator>
  <cp:lastModifiedBy>Jeroen Mijnarends-Jansen</cp:lastModifiedBy>
  <cp:lastPrinted>2020-08-27T13:02:53Z</cp:lastPrinted>
  <dcterms:created xsi:type="dcterms:W3CDTF">2018-07-19T05:46:53Z</dcterms:created>
  <dcterms:modified xsi:type="dcterms:W3CDTF">2020-10-02T11:01:00Z</dcterms:modified>
  <cp:category>Process Safety 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0x010100BD4DCDF732E11C4EA0DC0CEC3C67F10D</vt:lpwstr>
  </property>
</Properties>
</file>